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unahedu-my.sharepoint.com/personal/esteban_hernandez_unah_edu_hn/Documents/VRI-DNR/CONTROL DE CONVENIOS/RESPALDO/"/>
    </mc:Choice>
  </mc:AlternateContent>
  <xr:revisionPtr revIDLastSave="19" documentId="8_{B737C88C-12A2-49AE-8AE8-0849A50B945C}" xr6:coauthVersionLast="47" xr6:coauthVersionMax="47" xr10:uidLastSave="{FCAB90AA-C9FE-48AE-8CE6-F2C029BE7AF1}"/>
  <bookViews>
    <workbookView xWindow="-108" yWindow="-108" windowWidth="23256" windowHeight="12576" tabRatio="539" xr2:uid="{00000000-000D-0000-FFFF-FFFF00000000}"/>
  </bookViews>
  <sheets>
    <sheet name="CONVENIOS" sheetId="1" r:id="rId1"/>
    <sheet name="ESTADÍSTICAS" sheetId="8" r:id="rId2"/>
    <sheet name="GRÁFICOS" sheetId="9" r:id="rId3"/>
    <sheet name="INSTRUCCIONES" sheetId="6" r:id="rId4"/>
    <sheet name="CÓDIGOS DE PAÍS" sheetId="7" r:id="rId5"/>
  </sheets>
  <definedNames>
    <definedName name="_xlnm._FilterDatabase" localSheetId="0" hidden="1">CONVENIOS!$A$2:$P$392</definedName>
    <definedName name="_xlnm._FilterDatabase" localSheetId="1" hidden="1">ESTADÍSTICAS!$E$3:$G$257</definedName>
    <definedName name="_xlcn.WorksheetConnection_ControldeConveniosUNAH.xlsxPAIS1" hidden="1">ESTADÍSTICAS!$E$3:$G$35</definedName>
    <definedName name="_xlcn.WorksheetConnection_ControldeConveniosUNAH.xlsxREGION1" hidden="1">ESTADÍSTICAS!$A$9:$C$18</definedName>
    <definedName name="ACTIV">OFFSET(CONVENIOS!#REF!,0,0,COUNTA(CONVENIOS!#REF!),1)</definedName>
    <definedName name="AÑO">OFFSET(CONVENIOS!$K$3,0,0,COUNTA(CONVENIOS!$K:$K),1)</definedName>
    <definedName name="CONTRAPARTE">OFFSET(CONVENIOS!$G$3,0,0,COUNTA(CONVENIOS!$G:$G),1)</definedName>
    <definedName name="DropCondicion">ESTADÍSTICAS!$P$3:$P$5</definedName>
    <definedName name="DropVigencia">ESTADÍSTICAS!$O$3:$O$5</definedName>
    <definedName name="NUMC">OFFSET(CONVENIOS!$A$3,0,0,COUNTA(CONVENIOS!$A:$A),1)</definedName>
    <definedName name="PAIS">OFFSET(CONVENIOS!$D$3,0,0,COUNTA(CONVENIOS!$D:$D),1)</definedName>
    <definedName name="PAISES">ESTADÍSTICAS!$O$7:$O$260</definedName>
    <definedName name="TIPO">OFFSET(CONVENIOS!$F$3,0,0,COUNTA(CONVENIOS!$F:$F),1)</definedName>
    <definedName name="VIGENCIA">OFFSET(CONVENIOS!$M$3,0,0,COUNTA(CONVENIOS!$M:$M),1)</definedName>
  </definedNames>
  <calcPr calcId="191028"/>
  <extLst>
    <ext xmlns:x15="http://schemas.microsoft.com/office/spreadsheetml/2010/11/main" uri="{FCE2AD5D-F65C-4FA6-A056-5C36A1767C68}">
      <x15:dataModel>
        <x15:modelTables>
          <x15:modelTable id="REGION-5fa000de-84de-4c52-a7cd-90da5f5aec47" name="REGION" connection="WorksheetConnection_Control de Convenios UNAH.xlsx!REGION"/>
          <x15:modelTable id="PAIS-ea806ad7-c92b-4803-9fea-dc664182ede0" name="PAIS" connection="WorksheetConnection_Control de Convenios UNAH.xlsx!PAI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3" i="8" l="1" a="1"/>
  <c r="O203" i="8" s="1"/>
  <c r="F205" i="8" a="1"/>
  <c r="F205" i="8" s="1"/>
  <c r="J37" i="8" a="1"/>
  <c r="J37" i="8" s="1"/>
  <c r="L12" i="8"/>
  <c r="B6" i="8"/>
  <c r="F7" i="8" a="1"/>
  <c r="F7" i="8" s="1"/>
  <c r="J6" i="8"/>
  <c r="J36" i="8" a="1"/>
  <c r="J36" i="8" s="1"/>
  <c r="J35" i="8" a="1"/>
  <c r="J35" i="8" s="1"/>
  <c r="J34" i="8" a="1"/>
  <c r="J34" i="8" s="1"/>
  <c r="B26" i="8"/>
  <c r="B31" i="8"/>
  <c r="F257" i="8" a="1"/>
  <c r="F257" i="8" s="1"/>
  <c r="F256" i="8" a="1"/>
  <c r="F256" i="8" s="1"/>
  <c r="F255" i="8" a="1"/>
  <c r="F255" i="8" s="1"/>
  <c r="F254" i="8" a="1"/>
  <c r="F254" i="8" s="1"/>
  <c r="F253" i="8" a="1"/>
  <c r="F253" i="8" s="1"/>
  <c r="F252" i="8" a="1"/>
  <c r="F252" i="8" s="1"/>
  <c r="F251" i="8" a="1"/>
  <c r="F251" i="8" s="1"/>
  <c r="F250" i="8" a="1"/>
  <c r="F250" i="8" s="1"/>
  <c r="F249" i="8" a="1"/>
  <c r="F249" i="8" s="1"/>
  <c r="F248" i="8" a="1"/>
  <c r="F248" i="8" s="1"/>
  <c r="F38" i="8" a="1"/>
  <c r="F38" i="8" s="1"/>
  <c r="F247" i="8" a="1"/>
  <c r="F247" i="8" s="1"/>
  <c r="F246" i="8" a="1"/>
  <c r="F246" i="8" s="1"/>
  <c r="F245" i="8" a="1"/>
  <c r="F245" i="8" s="1"/>
  <c r="F39" i="8" a="1"/>
  <c r="F39" i="8" s="1"/>
  <c r="F244" i="8" a="1"/>
  <c r="F244" i="8" s="1"/>
  <c r="F243" i="8" a="1"/>
  <c r="F243" i="8" s="1"/>
  <c r="F242" i="8" a="1"/>
  <c r="F242" i="8" s="1"/>
  <c r="F241" i="8" a="1"/>
  <c r="F241" i="8" s="1"/>
  <c r="F240" i="8" a="1"/>
  <c r="F240" i="8" s="1"/>
  <c r="F239" i="8" a="1"/>
  <c r="F239" i="8" s="1"/>
  <c r="F238" i="8" a="1"/>
  <c r="F238" i="8" s="1"/>
  <c r="F237" i="8" a="1"/>
  <c r="F237" i="8" s="1"/>
  <c r="F236" i="8" a="1"/>
  <c r="F236" i="8" s="1"/>
  <c r="F235" i="8" a="1"/>
  <c r="F235" i="8" s="1"/>
  <c r="F25" i="8" a="1"/>
  <c r="F25" i="8" s="1"/>
  <c r="F234" i="8" a="1"/>
  <c r="F234" i="8" s="1"/>
  <c r="F233" i="8" a="1"/>
  <c r="F233" i="8" s="1"/>
  <c r="F18" i="8" a="1"/>
  <c r="F18" i="8" s="1"/>
  <c r="F24" i="8" a="1"/>
  <c r="F24" i="8" s="1"/>
  <c r="F232" i="8" a="1"/>
  <c r="F232" i="8" s="1"/>
  <c r="F231" i="8" a="1"/>
  <c r="F231" i="8" s="1"/>
  <c r="F230" i="8" a="1"/>
  <c r="F230" i="8" s="1"/>
  <c r="F229" i="8" a="1"/>
  <c r="F229" i="8" s="1"/>
  <c r="F228" i="8" a="1"/>
  <c r="F228" i="8" s="1"/>
  <c r="F227" i="8" a="1"/>
  <c r="F227" i="8" s="1"/>
  <c r="F226" i="8" a="1"/>
  <c r="F226" i="8" s="1"/>
  <c r="F225" i="8" a="1"/>
  <c r="F225" i="8" s="1"/>
  <c r="F224" i="8" a="1"/>
  <c r="F224" i="8" s="1"/>
  <c r="F223" i="8" a="1"/>
  <c r="F223" i="8" s="1"/>
  <c r="F222" i="8" a="1"/>
  <c r="F222" i="8" s="1"/>
  <c r="F221" i="8" a="1"/>
  <c r="F221" i="8" s="1"/>
  <c r="F220" i="8" a="1"/>
  <c r="F220" i="8" s="1"/>
  <c r="F219" i="8" a="1"/>
  <c r="F219" i="8" s="1"/>
  <c r="F218" i="8" a="1"/>
  <c r="F218" i="8" s="1"/>
  <c r="F217" i="8" a="1"/>
  <c r="F217" i="8" s="1"/>
  <c r="F216" i="8" a="1"/>
  <c r="F216" i="8" s="1"/>
  <c r="F215" i="8" a="1"/>
  <c r="F215" i="8" s="1"/>
  <c r="F214" i="8" a="1"/>
  <c r="F214" i="8" s="1"/>
  <c r="F213" i="8" a="1"/>
  <c r="F213" i="8" s="1"/>
  <c r="F212" i="8" a="1"/>
  <c r="F212" i="8" s="1"/>
  <c r="F211" i="8" a="1"/>
  <c r="F211" i="8" s="1"/>
  <c r="F210" i="8" a="1"/>
  <c r="F210" i="8" s="1"/>
  <c r="F209" i="8" a="1"/>
  <c r="F209" i="8" s="1"/>
  <c r="F208" i="8" a="1"/>
  <c r="F208" i="8" s="1"/>
  <c r="F207" i="8" a="1"/>
  <c r="F207" i="8" s="1"/>
  <c r="F206" i="8" a="1"/>
  <c r="F206" i="8" s="1"/>
  <c r="F204" i="8" a="1"/>
  <c r="F204" i="8" s="1"/>
  <c r="F203" i="8" a="1"/>
  <c r="F203" i="8" s="1"/>
  <c r="F202" i="8" a="1"/>
  <c r="F202" i="8" s="1"/>
  <c r="F36" i="8" a="1"/>
  <c r="F36" i="8" s="1"/>
  <c r="F201" i="8" a="1"/>
  <c r="F201" i="8" s="1"/>
  <c r="F200" i="8" a="1"/>
  <c r="F200" i="8" s="1"/>
  <c r="F199" i="8" a="1"/>
  <c r="F199" i="8" s="1"/>
  <c r="F198" i="8" a="1"/>
  <c r="F198" i="8" s="1"/>
  <c r="F35" i="8" a="1"/>
  <c r="F35" i="8" s="1"/>
  <c r="F197" i="8" a="1"/>
  <c r="F197" i="8" s="1"/>
  <c r="F196" i="8" a="1"/>
  <c r="F196" i="8" s="1"/>
  <c r="F26" i="8" a="1"/>
  <c r="F26" i="8" s="1"/>
  <c r="F195" i="8" a="1"/>
  <c r="F195" i="8" s="1"/>
  <c r="F34" i="8" a="1"/>
  <c r="F34" i="8" s="1"/>
  <c r="F194" i="8" a="1"/>
  <c r="F194" i="8" s="1"/>
  <c r="F193" i="8" a="1"/>
  <c r="F193" i="8" s="1"/>
  <c r="F14" i="8" a="1"/>
  <c r="F14" i="8" s="1"/>
  <c r="F192" i="8" a="1"/>
  <c r="F192" i="8" s="1"/>
  <c r="F191" i="8" a="1"/>
  <c r="F191" i="8" s="1"/>
  <c r="F29" i="8" a="1"/>
  <c r="F29" i="8" s="1"/>
  <c r="F190" i="8" a="1"/>
  <c r="F190" i="8" s="1"/>
  <c r="F189" i="8" a="1"/>
  <c r="F189" i="8" s="1"/>
  <c r="F188" i="8" a="1"/>
  <c r="F188" i="8" s="1"/>
  <c r="F187" i="8" a="1"/>
  <c r="F187" i="8" s="1"/>
  <c r="F186" i="8" a="1"/>
  <c r="F186" i="8" s="1"/>
  <c r="F185" i="8" a="1"/>
  <c r="F185" i="8" s="1"/>
  <c r="F184" i="8" a="1"/>
  <c r="F184" i="8" s="1"/>
  <c r="F13" i="8" a="1"/>
  <c r="F13" i="8" s="1"/>
  <c r="F183" i="8" a="1"/>
  <c r="F183" i="8" s="1"/>
  <c r="F182" i="8" a="1"/>
  <c r="F182" i="8" s="1"/>
  <c r="F181" i="8" a="1"/>
  <c r="F181" i="8" s="1"/>
  <c r="F180" i="8" a="1"/>
  <c r="F180" i="8" s="1"/>
  <c r="F179" i="8" a="1"/>
  <c r="F179" i="8" s="1"/>
  <c r="F178" i="8" a="1"/>
  <c r="F178" i="8" s="1"/>
  <c r="F177" i="8" a="1"/>
  <c r="F177" i="8" s="1"/>
  <c r="F176" i="8" a="1"/>
  <c r="F176" i="8" s="1"/>
  <c r="F175" i="8" a="1"/>
  <c r="F175" i="8" s="1"/>
  <c r="F174" i="8" a="1"/>
  <c r="F174" i="8" s="1"/>
  <c r="F173" i="8" a="1"/>
  <c r="F173" i="8" s="1"/>
  <c r="F5" i="8" a="1"/>
  <c r="F5" i="8" s="1"/>
  <c r="F172" i="8" a="1"/>
  <c r="F172" i="8" s="1"/>
  <c r="F171" i="8" a="1"/>
  <c r="F171" i="8" s="1"/>
  <c r="F170" i="8" a="1"/>
  <c r="F170" i="8" s="1"/>
  <c r="F169" i="8" a="1"/>
  <c r="F169" i="8" s="1"/>
  <c r="F168" i="8" a="1"/>
  <c r="F168" i="8" s="1"/>
  <c r="F167" i="8" a="1"/>
  <c r="F167" i="8" s="1"/>
  <c r="F166" i="8" a="1"/>
  <c r="F166" i="8" s="1"/>
  <c r="F165" i="8" a="1"/>
  <c r="F165" i="8" s="1"/>
  <c r="F164" i="8" a="1"/>
  <c r="F164" i="8" s="1"/>
  <c r="F163" i="8" a="1"/>
  <c r="F163" i="8" s="1"/>
  <c r="F162" i="8" a="1"/>
  <c r="F162" i="8" s="1"/>
  <c r="F161" i="8" a="1"/>
  <c r="F161" i="8" s="1"/>
  <c r="F160" i="8" a="1"/>
  <c r="F160" i="8" s="1"/>
  <c r="F159" i="8" a="1"/>
  <c r="F159" i="8" s="1"/>
  <c r="F158" i="8" a="1"/>
  <c r="F158" i="8" s="1"/>
  <c r="F157" i="8" a="1"/>
  <c r="F157" i="8" s="1"/>
  <c r="F156" i="8" a="1"/>
  <c r="F156" i="8" s="1"/>
  <c r="F155" i="8" a="1"/>
  <c r="F155" i="8" s="1"/>
  <c r="F154" i="8" a="1"/>
  <c r="F154" i="8" s="1"/>
  <c r="F153" i="8" a="1"/>
  <c r="F153" i="8" s="1"/>
  <c r="F152" i="8" a="1"/>
  <c r="F152" i="8" s="1"/>
  <c r="F151" i="8" a="1"/>
  <c r="F151" i="8" s="1"/>
  <c r="F150" i="8" a="1"/>
  <c r="F150" i="8" s="1"/>
  <c r="F149" i="8" a="1"/>
  <c r="F149" i="8" s="1"/>
  <c r="F148" i="8" a="1"/>
  <c r="F148" i="8" s="1"/>
  <c r="F147" i="8" a="1"/>
  <c r="F147" i="8" s="1"/>
  <c r="F146" i="8" a="1"/>
  <c r="F146" i="8" s="1"/>
  <c r="F145" i="8" a="1"/>
  <c r="F145" i="8" s="1"/>
  <c r="F144" i="8" a="1"/>
  <c r="F144" i="8" s="1"/>
  <c r="F143" i="8" a="1"/>
  <c r="F143" i="8" s="1"/>
  <c r="F27" i="8" a="1"/>
  <c r="F27" i="8" s="1"/>
  <c r="F142" i="8" a="1"/>
  <c r="F142" i="8" s="1"/>
  <c r="F19" i="8" a="1"/>
  <c r="F19" i="8" s="1"/>
  <c r="F141" i="8" a="1"/>
  <c r="F141" i="8" s="1"/>
  <c r="F140" i="8" a="1"/>
  <c r="F140" i="8" s="1"/>
  <c r="F139" i="8" a="1"/>
  <c r="F139" i="8" s="1"/>
  <c r="F138" i="8" a="1"/>
  <c r="F138" i="8" s="1"/>
  <c r="F137" i="8" a="1"/>
  <c r="F137" i="8" s="1"/>
  <c r="F136" i="8" a="1"/>
  <c r="F136" i="8" s="1"/>
  <c r="F135" i="8" a="1"/>
  <c r="F135" i="8" s="1"/>
  <c r="F134" i="8" a="1"/>
  <c r="F134" i="8" s="1"/>
  <c r="F133" i="8" a="1"/>
  <c r="F133" i="8" s="1"/>
  <c r="F132" i="8" a="1"/>
  <c r="F132" i="8" s="1"/>
  <c r="F131" i="8" a="1"/>
  <c r="F131" i="8" s="1"/>
  <c r="F130" i="8" a="1"/>
  <c r="F130" i="8" s="1"/>
  <c r="F129" i="8" a="1"/>
  <c r="F129" i="8" s="1"/>
  <c r="F128" i="8" a="1"/>
  <c r="F128" i="8" s="1"/>
  <c r="F127" i="8" a="1"/>
  <c r="F127" i="8" s="1"/>
  <c r="F126" i="8" a="1"/>
  <c r="F126" i="8" s="1"/>
  <c r="F125" i="8" a="1"/>
  <c r="F125" i="8" s="1"/>
  <c r="F124" i="8" a="1"/>
  <c r="F124" i="8" s="1"/>
  <c r="F123" i="8" a="1"/>
  <c r="F123" i="8" s="1"/>
  <c r="F122" i="8" a="1"/>
  <c r="F122" i="8" s="1"/>
  <c r="F121" i="8" a="1"/>
  <c r="F121" i="8" s="1"/>
  <c r="F120" i="8" a="1"/>
  <c r="F120" i="8" s="1"/>
  <c r="F119" i="8" a="1"/>
  <c r="F119" i="8" s="1"/>
  <c r="F118" i="8" a="1"/>
  <c r="F118" i="8" s="1"/>
  <c r="F37" i="8" a="1"/>
  <c r="F37" i="8" s="1"/>
  <c r="F117" i="8" a="1"/>
  <c r="F117" i="8" s="1"/>
  <c r="F116" i="8" a="1"/>
  <c r="F116" i="8" s="1"/>
  <c r="F115" i="8" a="1"/>
  <c r="F115" i="8" s="1"/>
  <c r="F114" i="8" a="1"/>
  <c r="F114" i="8" s="1"/>
  <c r="F113" i="8" a="1"/>
  <c r="F113" i="8" s="1"/>
  <c r="F112" i="8" a="1"/>
  <c r="F112" i="8" s="1"/>
  <c r="F33" i="8" a="1"/>
  <c r="F33" i="8" s="1"/>
  <c r="F111" i="8" a="1"/>
  <c r="F111" i="8" s="1"/>
  <c r="F110" i="8" a="1"/>
  <c r="F110" i="8" s="1"/>
  <c r="F32" i="8" a="1"/>
  <c r="F32" i="8" s="1"/>
  <c r="F109" i="8" a="1"/>
  <c r="F109" i="8" s="1"/>
  <c r="F108" i="8" a="1"/>
  <c r="F108" i="8" s="1"/>
  <c r="F107" i="8" a="1"/>
  <c r="F107" i="8" s="1"/>
  <c r="F106" i="8" a="1"/>
  <c r="F106" i="8" s="1"/>
  <c r="F30" i="8" a="1"/>
  <c r="F30" i="8" s="1"/>
  <c r="F105" i="8" a="1"/>
  <c r="F105" i="8" s="1"/>
  <c r="F104" i="8" a="1"/>
  <c r="F104" i="8" s="1"/>
  <c r="F103" i="8" a="1"/>
  <c r="F103" i="8" s="1"/>
  <c r="F102" i="8" a="1"/>
  <c r="F102" i="8" s="1"/>
  <c r="F101" i="8" a="1"/>
  <c r="F101" i="8" s="1"/>
  <c r="F100" i="8" a="1"/>
  <c r="F100" i="8" s="1"/>
  <c r="F99" i="8" a="1"/>
  <c r="F99" i="8" s="1"/>
  <c r="F98" i="8" a="1"/>
  <c r="F98" i="8" s="1"/>
  <c r="F97" i="8" a="1"/>
  <c r="F97" i="8" s="1"/>
  <c r="F96" i="8" a="1"/>
  <c r="F96" i="8" s="1"/>
  <c r="F11" i="8" a="1"/>
  <c r="F11" i="8" s="1"/>
  <c r="F95" i="8" a="1"/>
  <c r="F95" i="8" s="1"/>
  <c r="F94" i="8" a="1"/>
  <c r="F94" i="8" s="1"/>
  <c r="F93" i="8" a="1"/>
  <c r="F93" i="8" s="1"/>
  <c r="F92" i="8" a="1"/>
  <c r="F92" i="8" s="1"/>
  <c r="F91" i="8" a="1"/>
  <c r="F91" i="8" s="1"/>
  <c r="F8" i="8" a="1"/>
  <c r="F8" i="8" s="1"/>
  <c r="F4" i="8" a="1"/>
  <c r="F4" i="8" s="1"/>
  <c r="F90" i="8" a="1"/>
  <c r="F90" i="8" s="1"/>
  <c r="F89" i="8" a="1"/>
  <c r="F89" i="8" s="1"/>
  <c r="F88" i="8" a="1"/>
  <c r="F88" i="8" s="1"/>
  <c r="F87" i="8" a="1"/>
  <c r="F87" i="8" s="1"/>
  <c r="F22" i="8" a="1"/>
  <c r="F22" i="8" s="1"/>
  <c r="F86" i="8" a="1"/>
  <c r="F86" i="8" s="1"/>
  <c r="F28" i="8" a="1"/>
  <c r="F28" i="8" s="1"/>
  <c r="F85" i="8" a="1"/>
  <c r="F85" i="8" s="1"/>
  <c r="F84" i="8" a="1"/>
  <c r="F84" i="8" s="1"/>
  <c r="F83" i="8" a="1"/>
  <c r="F83" i="8" s="1"/>
  <c r="F9" i="8" a="1"/>
  <c r="F9" i="8" s="1"/>
  <c r="F82" i="8" a="1"/>
  <c r="F82" i="8" s="1"/>
  <c r="F12" i="8" a="1"/>
  <c r="F12" i="8" s="1"/>
  <c r="F81" i="8" a="1"/>
  <c r="F81" i="8" s="1"/>
  <c r="F21" i="8" a="1"/>
  <c r="F21" i="8" s="1"/>
  <c r="F80" i="8" a="1"/>
  <c r="F80" i="8" s="1"/>
  <c r="F79" i="8" a="1"/>
  <c r="F79" i="8" s="1"/>
  <c r="F10" i="8" a="1"/>
  <c r="F10" i="8" s="1"/>
  <c r="F78" i="8" a="1"/>
  <c r="F78" i="8" s="1"/>
  <c r="F77" i="8" a="1"/>
  <c r="F77" i="8" s="1"/>
  <c r="F23" i="8" a="1"/>
  <c r="F23" i="8" s="1"/>
  <c r="F76" i="8" a="1"/>
  <c r="F76" i="8" s="1"/>
  <c r="F75" i="8" a="1"/>
  <c r="F75" i="8" s="1"/>
  <c r="F17" i="8" a="1"/>
  <c r="F17" i="8" s="1"/>
  <c r="F74" i="8" a="1"/>
  <c r="F74" i="8" s="1"/>
  <c r="F73" i="8" a="1"/>
  <c r="F73" i="8" s="1"/>
  <c r="F72" i="8" a="1"/>
  <c r="F72" i="8" s="1"/>
  <c r="F71" i="8" a="1"/>
  <c r="F71" i="8" s="1"/>
  <c r="F70" i="8" a="1"/>
  <c r="F70" i="8" s="1"/>
  <c r="F69" i="8" a="1"/>
  <c r="F69" i="8" s="1"/>
  <c r="F68" i="8" a="1"/>
  <c r="F68" i="8" s="1"/>
  <c r="F67" i="8" a="1"/>
  <c r="F67" i="8" s="1"/>
  <c r="F15" i="8" a="1"/>
  <c r="F15" i="8" s="1"/>
  <c r="F66" i="8" a="1"/>
  <c r="F66" i="8" s="1"/>
  <c r="F65" i="8" a="1"/>
  <c r="F65" i="8" s="1"/>
  <c r="F64" i="8" a="1"/>
  <c r="F64" i="8" s="1"/>
  <c r="F31" i="8" a="1"/>
  <c r="F31" i="8" s="1"/>
  <c r="F63" i="8" a="1"/>
  <c r="F63" i="8" s="1"/>
  <c r="F62" i="8" a="1"/>
  <c r="F62" i="8" s="1"/>
  <c r="F61" i="8" a="1"/>
  <c r="F61" i="8" s="1"/>
  <c r="F60" i="8" a="1"/>
  <c r="F60" i="8" s="1"/>
  <c r="F59" i="8" a="1"/>
  <c r="F59" i="8" s="1"/>
  <c r="F58" i="8" a="1"/>
  <c r="F58" i="8" s="1"/>
  <c r="F57" i="8" a="1"/>
  <c r="F57" i="8" s="1"/>
  <c r="F56" i="8" a="1"/>
  <c r="F56" i="8" s="1"/>
  <c r="F55" i="8" a="1"/>
  <c r="F55" i="8" s="1"/>
  <c r="F54" i="8" a="1"/>
  <c r="F54" i="8" s="1"/>
  <c r="F53" i="8" a="1"/>
  <c r="F53" i="8" s="1"/>
  <c r="F52" i="8" a="1"/>
  <c r="F52" i="8" s="1"/>
  <c r="F51" i="8" a="1"/>
  <c r="F51" i="8" s="1"/>
  <c r="F50" i="8" a="1"/>
  <c r="F50" i="8" s="1"/>
  <c r="F16" i="8" a="1"/>
  <c r="F16" i="8" s="1"/>
  <c r="F49" i="8" a="1"/>
  <c r="F49" i="8" s="1"/>
  <c r="F48" i="8" a="1"/>
  <c r="F48" i="8" s="1"/>
  <c r="F47" i="8" a="1"/>
  <c r="F47" i="8" s="1"/>
  <c r="F46" i="8" a="1"/>
  <c r="F46" i="8" s="1"/>
  <c r="F45" i="8" a="1"/>
  <c r="F45" i="8" s="1"/>
  <c r="F44" i="8" a="1"/>
  <c r="F44" i="8" s="1"/>
  <c r="F43" i="8" a="1"/>
  <c r="F43" i="8" s="1"/>
  <c r="F42" i="8" a="1"/>
  <c r="F42" i="8" s="1"/>
  <c r="F20" i="8" a="1"/>
  <c r="F20" i="8" s="1"/>
  <c r="F41" i="8" a="1"/>
  <c r="F41" i="8" s="1"/>
  <c r="F40" i="8" a="1"/>
  <c r="F40" i="8" s="1"/>
  <c r="F6" i="8" a="1"/>
  <c r="F6" i="8" s="1"/>
  <c r="O36" i="8" a="1"/>
  <c r="O36" i="8" s="1"/>
  <c r="O260" i="8" a="1"/>
  <c r="O260" i="8" s="1"/>
  <c r="O259" i="8" a="1"/>
  <c r="O259" i="8" s="1"/>
  <c r="O257" i="8" a="1"/>
  <c r="O257" i="8" s="1"/>
  <c r="O205" i="8" a="1"/>
  <c r="O205" i="8" s="1"/>
  <c r="O256" i="8" a="1"/>
  <c r="O256" i="8" s="1"/>
  <c r="O255" i="8" a="1"/>
  <c r="O255" i="8" s="1"/>
  <c r="O254" i="8" a="1"/>
  <c r="O254" i="8" s="1"/>
  <c r="O253" i="8" a="1"/>
  <c r="O253" i="8" s="1"/>
  <c r="O252" i="8" a="1"/>
  <c r="O252" i="8" s="1"/>
  <c r="O251" i="8" a="1"/>
  <c r="O251" i="8" s="1"/>
  <c r="O250" i="8" a="1"/>
  <c r="O250" i="8" s="1"/>
  <c r="O121" i="8" a="1"/>
  <c r="O121" i="8" s="1"/>
  <c r="O194" i="8" a="1"/>
  <c r="O194" i="8" s="1"/>
  <c r="O68" i="8" a="1"/>
  <c r="O68" i="8" s="1"/>
  <c r="O248" i="8" a="1"/>
  <c r="O248" i="8" s="1"/>
  <c r="O249" i="8" a="1"/>
  <c r="O249" i="8" s="1"/>
  <c r="O128" i="8" a="1"/>
  <c r="O128" i="8" s="1"/>
  <c r="O247" i="8" a="1"/>
  <c r="O247" i="8" s="1"/>
  <c r="O126" i="8" a="1"/>
  <c r="O126" i="8" s="1"/>
  <c r="O245" i="8" a="1"/>
  <c r="O245" i="8" s="1"/>
  <c r="O246" i="8" a="1"/>
  <c r="O246" i="8" s="1"/>
  <c r="O244" i="8" a="1"/>
  <c r="O244" i="8" s="1"/>
  <c r="O243" i="8" a="1"/>
  <c r="O243" i="8" s="1"/>
  <c r="O242" i="8" a="1"/>
  <c r="O242" i="8" s="1"/>
  <c r="O125" i="8" a="1"/>
  <c r="O125" i="8" s="1"/>
  <c r="O200" i="8" a="1"/>
  <c r="O200" i="8" s="1"/>
  <c r="O234" i="8" a="1"/>
  <c r="O234" i="8" s="1"/>
  <c r="O236" i="8" a="1"/>
  <c r="O236" i="8" s="1"/>
  <c r="O237" i="8" a="1"/>
  <c r="O237" i="8" s="1"/>
  <c r="O235" i="8" a="1"/>
  <c r="O235" i="8" s="1"/>
  <c r="O224" i="8" a="1"/>
  <c r="O224" i="8" s="1"/>
  <c r="O232" i="8" a="1"/>
  <c r="O232" i="8" s="1"/>
  <c r="O231" i="8" a="1"/>
  <c r="O231" i="8" s="1"/>
  <c r="O227" i="8" a="1"/>
  <c r="O227" i="8" s="1"/>
  <c r="O124" i="8" a="1"/>
  <c r="O124" i="8" s="1"/>
  <c r="O233" i="8" a="1"/>
  <c r="O233" i="8" s="1"/>
  <c r="O229" i="8" a="1"/>
  <c r="O229" i="8" s="1"/>
  <c r="O226" i="8" a="1"/>
  <c r="O226" i="8" s="1"/>
  <c r="O72" i="8" a="1"/>
  <c r="O72" i="8" s="1"/>
  <c r="O230" i="8" a="1"/>
  <c r="O230" i="8" s="1"/>
  <c r="O57" i="8" a="1"/>
  <c r="O57" i="8" s="1"/>
  <c r="O116" i="8" a="1"/>
  <c r="O116" i="8" s="1"/>
  <c r="O228" i="8" a="1"/>
  <c r="O228" i="8" s="1"/>
  <c r="O225" i="8" a="1"/>
  <c r="O225" i="8" s="1"/>
  <c r="O123" i="8" a="1"/>
  <c r="O123" i="8" s="1"/>
  <c r="O71" i="8" a="1"/>
  <c r="O71" i="8" s="1"/>
  <c r="O70" i="8" a="1"/>
  <c r="O70" i="8" s="1"/>
  <c r="O212" i="8" a="1"/>
  <c r="O212" i="8" s="1"/>
  <c r="O223" i="8" a="1"/>
  <c r="O223" i="8" s="1"/>
  <c r="O222" i="8" a="1"/>
  <c r="O222" i="8" s="1"/>
  <c r="O221" i="8" a="1"/>
  <c r="O221" i="8" s="1"/>
  <c r="O220" i="8" a="1"/>
  <c r="O220" i="8" s="1"/>
  <c r="O219" i="8" a="1"/>
  <c r="O219" i="8" s="1"/>
  <c r="O218" i="8" a="1"/>
  <c r="O218" i="8" s="1"/>
  <c r="O18" i="8" a="1"/>
  <c r="O18" i="8" s="1"/>
  <c r="O217" i="8" a="1"/>
  <c r="O217" i="8" s="1"/>
  <c r="O210" i="8" a="1"/>
  <c r="O210" i="8" s="1"/>
  <c r="O207" i="8" a="1"/>
  <c r="O207" i="8" s="1"/>
  <c r="O214" i="8" a="1"/>
  <c r="O214" i="8" s="1"/>
  <c r="O213" i="8" a="1"/>
  <c r="O213" i="8" s="1"/>
  <c r="O211" i="8" a="1"/>
  <c r="O211" i="8" s="1"/>
  <c r="O216" i="8" a="1"/>
  <c r="O216" i="8" s="1"/>
  <c r="O209" i="8" a="1"/>
  <c r="O209" i="8" s="1"/>
  <c r="O215" i="8" a="1"/>
  <c r="O215" i="8" s="1"/>
  <c r="O208" i="8" a="1"/>
  <c r="O208" i="8" s="1"/>
  <c r="O202" i="8" a="1"/>
  <c r="O202" i="8" s="1"/>
  <c r="O204" i="8" a="1"/>
  <c r="O204" i="8" s="1"/>
  <c r="O201" i="8" a="1"/>
  <c r="O201" i="8" s="1"/>
  <c r="O197" i="8" a="1"/>
  <c r="O197" i="8" s="1"/>
  <c r="O49" i="8" a="1"/>
  <c r="O49" i="8" s="1"/>
  <c r="O193" i="8" a="1"/>
  <c r="O193" i="8" s="1"/>
  <c r="O192" i="8" a="1"/>
  <c r="O192" i="8" s="1"/>
  <c r="O191" i="8" a="1"/>
  <c r="O191" i="8" s="1"/>
  <c r="O122" i="8" a="1"/>
  <c r="O122" i="8" s="1"/>
  <c r="O77" i="8" a="1"/>
  <c r="O77" i="8" s="1"/>
  <c r="O189" i="8" a="1"/>
  <c r="O189" i="8" s="1"/>
  <c r="O188" i="8" a="1"/>
  <c r="O188" i="8" s="1"/>
  <c r="O187" i="8" a="1"/>
  <c r="O187" i="8" s="1"/>
  <c r="O186" i="8" a="1"/>
  <c r="O186" i="8" s="1"/>
  <c r="O240" i="8" a="1"/>
  <c r="O240" i="8" s="1"/>
  <c r="O185" i="8" a="1"/>
  <c r="O185" i="8" s="1"/>
  <c r="O184" i="8" a="1"/>
  <c r="O184" i="8" s="1"/>
  <c r="O182" i="8" a="1"/>
  <c r="O182" i="8" s="1"/>
  <c r="O179" i="8" a="1"/>
  <c r="O179" i="8" s="1"/>
  <c r="O119" i="8" a="1"/>
  <c r="O119" i="8" s="1"/>
  <c r="O56" i="8" a="1"/>
  <c r="O56" i="8" s="1"/>
  <c r="O109" i="8" a="1"/>
  <c r="O109" i="8" s="1"/>
  <c r="O178" i="8" a="1"/>
  <c r="O178" i="8" s="1"/>
  <c r="O177" i="8" a="1"/>
  <c r="O177" i="8" s="1"/>
  <c r="O176" i="8" a="1"/>
  <c r="O176" i="8" s="1"/>
  <c r="O175" i="8" a="1"/>
  <c r="O175" i="8" s="1"/>
  <c r="O181" i="8" a="1"/>
  <c r="O181" i="8" s="1"/>
  <c r="O180" i="8" a="1"/>
  <c r="O180" i="8" s="1"/>
  <c r="O17" i="8" a="1"/>
  <c r="O17" i="8" s="1"/>
  <c r="O183" i="8" a="1"/>
  <c r="O183" i="8" s="1"/>
  <c r="O174" i="8" a="1"/>
  <c r="O174" i="8" s="1"/>
  <c r="O173" i="8" a="1"/>
  <c r="O173" i="8" s="1"/>
  <c r="O172" i="8" a="1"/>
  <c r="O172" i="8" s="1"/>
  <c r="O171" i="8" a="1"/>
  <c r="O171" i="8" s="1"/>
  <c r="O170" i="8" a="1"/>
  <c r="O170" i="8" s="1"/>
  <c r="O158" i="8" a="1"/>
  <c r="O158" i="8" s="1"/>
  <c r="O169" i="8" a="1"/>
  <c r="O169" i="8" s="1"/>
  <c r="O168" i="8" a="1"/>
  <c r="O168" i="8" s="1"/>
  <c r="O167" i="8" a="1"/>
  <c r="O167" i="8" s="1"/>
  <c r="O166" i="8" a="1"/>
  <c r="O166" i="8" s="1"/>
  <c r="O165" i="8" a="1"/>
  <c r="O165" i="8" s="1"/>
  <c r="O164" i="8" a="1"/>
  <c r="O164" i="8" s="1"/>
  <c r="O163" i="8" a="1"/>
  <c r="O163" i="8" s="1"/>
  <c r="O162" i="8" a="1"/>
  <c r="O162" i="8" s="1"/>
  <c r="O160" i="8" a="1"/>
  <c r="O160" i="8" s="1"/>
  <c r="O161" i="8" a="1"/>
  <c r="O161" i="8" s="1"/>
  <c r="O159" i="8" a="1"/>
  <c r="O159" i="8" s="1"/>
  <c r="O120" i="8" a="1"/>
  <c r="O120" i="8" s="1"/>
  <c r="O157" i="8" a="1"/>
  <c r="O157" i="8" s="1"/>
  <c r="O156" i="8" a="1"/>
  <c r="O156" i="8" s="1"/>
  <c r="O155" i="8" a="1"/>
  <c r="O155" i="8" s="1"/>
  <c r="O153" i="8" a="1"/>
  <c r="O153" i="8" s="1"/>
  <c r="O154" i="8" a="1"/>
  <c r="O154" i="8" s="1"/>
  <c r="O152" i="8" a="1"/>
  <c r="O152" i="8" s="1"/>
  <c r="O151" i="8" a="1"/>
  <c r="O151" i="8" s="1"/>
  <c r="O150" i="8" a="1"/>
  <c r="O150" i="8" s="1"/>
  <c r="O149" i="8" a="1"/>
  <c r="O149" i="8" s="1"/>
  <c r="O148" i="8" a="1"/>
  <c r="O148" i="8" s="1"/>
  <c r="O147" i="8" a="1"/>
  <c r="O147" i="8" s="1"/>
  <c r="O146" i="8" a="1"/>
  <c r="O146" i="8" s="1"/>
  <c r="O145" i="8" a="1"/>
  <c r="O145" i="8" s="1"/>
  <c r="O142" i="8" a="1"/>
  <c r="O142" i="8" s="1"/>
  <c r="O144" i="8" a="1"/>
  <c r="O144" i="8" s="1"/>
  <c r="O143" i="8" a="1"/>
  <c r="O143" i="8" s="1"/>
  <c r="O141" i="8" a="1"/>
  <c r="O141" i="8" s="1"/>
  <c r="O137" i="8" a="1"/>
  <c r="O137" i="8" s="1"/>
  <c r="O140" i="8" a="1"/>
  <c r="O140" i="8" s="1"/>
  <c r="O139" i="8" a="1"/>
  <c r="O139" i="8" s="1"/>
  <c r="O138" i="8" a="1"/>
  <c r="O138" i="8" s="1"/>
  <c r="O136" i="8" a="1"/>
  <c r="O136" i="8" s="1"/>
  <c r="O135" i="8" a="1"/>
  <c r="O135" i="8" s="1"/>
  <c r="O134" i="8" a="1"/>
  <c r="O134" i="8" s="1"/>
  <c r="O133" i="8" a="1"/>
  <c r="O133" i="8" s="1"/>
  <c r="O132" i="8" a="1"/>
  <c r="O132" i="8" s="1"/>
  <c r="O131" i="8" a="1"/>
  <c r="O131" i="8" s="1"/>
  <c r="O58" i="8" a="1"/>
  <c r="O58" i="8" s="1"/>
  <c r="O130" i="8" a="1"/>
  <c r="O130" i="8" s="1"/>
  <c r="O129" i="8" a="1"/>
  <c r="O129" i="8" s="1"/>
  <c r="O107" i="8" a="1"/>
  <c r="O107" i="8" s="1"/>
  <c r="O105" i="8" a="1"/>
  <c r="O105" i="8" s="1"/>
  <c r="O103" i="8" a="1"/>
  <c r="O103" i="8" s="1"/>
  <c r="O104" i="8" a="1"/>
  <c r="O104" i="8" s="1"/>
  <c r="O102" i="8" a="1"/>
  <c r="O102" i="8" s="1"/>
  <c r="O101" i="8" a="1"/>
  <c r="O101" i="8" s="1"/>
  <c r="O110" i="8" a="1"/>
  <c r="O110" i="8" s="1"/>
  <c r="O100" i="8" a="1"/>
  <c r="O100" i="8" s="1"/>
  <c r="O99" i="8" a="1"/>
  <c r="O99" i="8" s="1"/>
  <c r="O98" i="8" a="1"/>
  <c r="O98" i="8" s="1"/>
  <c r="O117" i="8" a="1"/>
  <c r="O117" i="8" s="1"/>
  <c r="O97" i="8" a="1"/>
  <c r="O97" i="8" s="1"/>
  <c r="O96" i="8" a="1"/>
  <c r="O96" i="8" s="1"/>
  <c r="O94" i="8" a="1"/>
  <c r="O94" i="8" s="1"/>
  <c r="O93" i="8" a="1"/>
  <c r="O93" i="8" s="1"/>
  <c r="O92" i="8" a="1"/>
  <c r="O92" i="8" s="1"/>
  <c r="O90" i="8" a="1"/>
  <c r="O90" i="8" s="1"/>
  <c r="O89" i="8" a="1"/>
  <c r="O89" i="8" s="1"/>
  <c r="O88" i="8" a="1"/>
  <c r="O88" i="8" s="1"/>
  <c r="O85" i="8" a="1"/>
  <c r="O85" i="8" s="1"/>
  <c r="O87" i="8" a="1"/>
  <c r="O87" i="8" s="1"/>
  <c r="O86" i="8" a="1"/>
  <c r="O86" i="8" s="1"/>
  <c r="O84" i="8" a="1"/>
  <c r="O84" i="8" s="1"/>
  <c r="O83" i="8" a="1"/>
  <c r="O83" i="8" s="1"/>
  <c r="O11" i="8" a="1"/>
  <c r="O11" i="8" s="1"/>
  <c r="O82" i="8" a="1"/>
  <c r="O82" i="8" s="1"/>
  <c r="O81" i="8" a="1"/>
  <c r="O81" i="8" s="1"/>
  <c r="O80" i="8" a="1"/>
  <c r="O80" i="8" s="1"/>
  <c r="O239" i="8" a="1"/>
  <c r="O239" i="8" s="1"/>
  <c r="O190" i="8" a="1"/>
  <c r="O190" i="8" s="1"/>
  <c r="O91" i="8" a="1"/>
  <c r="O91" i="8" s="1"/>
  <c r="O79" i="8" a="1"/>
  <c r="O79" i="8" s="1"/>
  <c r="O78" i="8" a="1"/>
  <c r="O78" i="8" s="1"/>
  <c r="O76" i="8" a="1"/>
  <c r="O76" i="8" s="1"/>
  <c r="O115" i="8" a="1"/>
  <c r="O115" i="8" s="1"/>
  <c r="O118" i="8" a="1"/>
  <c r="O118" i="8" s="1"/>
  <c r="O75" i="8" a="1"/>
  <c r="O75" i="8" s="1"/>
  <c r="O74" i="8" a="1"/>
  <c r="O74" i="8" s="1"/>
  <c r="O69" i="8" a="1"/>
  <c r="O69" i="8" s="1"/>
  <c r="O95" i="8" a="1"/>
  <c r="O95" i="8" s="1"/>
  <c r="O67" i="8" a="1"/>
  <c r="O67" i="8" s="1"/>
  <c r="O66" i="8" a="1"/>
  <c r="O66" i="8" s="1"/>
  <c r="O65" i="8" a="1"/>
  <c r="O65" i="8" s="1"/>
  <c r="O241" i="8" a="1"/>
  <c r="O241" i="8" s="1"/>
  <c r="O199" i="8" a="1"/>
  <c r="O199" i="8" s="1"/>
  <c r="O64" i="8" a="1"/>
  <c r="O64" i="8" s="1"/>
  <c r="O258" i="8" a="1"/>
  <c r="O258" i="8" s="1"/>
  <c r="O63" i="8" a="1"/>
  <c r="O63" i="8" s="1"/>
  <c r="O198" i="8" a="1"/>
  <c r="O198" i="8" s="1"/>
  <c r="O195" i="8" a="1"/>
  <c r="O195" i="8" s="1"/>
  <c r="O53" i="8" a="1"/>
  <c r="O53" i="8" s="1"/>
  <c r="O62" i="8" a="1"/>
  <c r="O62" i="8" s="1"/>
  <c r="O61" i="8" a="1"/>
  <c r="O61" i="8" s="1"/>
  <c r="O60" i="8" a="1"/>
  <c r="O60" i="8" s="1"/>
  <c r="O59" i="8" a="1"/>
  <c r="O59" i="8" s="1"/>
  <c r="O113" i="8" a="1"/>
  <c r="O113" i="8" s="1"/>
  <c r="O55" i="8" a="1"/>
  <c r="O55" i="8" s="1"/>
  <c r="O54" i="8" a="1"/>
  <c r="O54" i="8" s="1"/>
  <c r="O112" i="8" a="1"/>
  <c r="O112" i="8" s="1"/>
  <c r="O108" i="8" a="1"/>
  <c r="O108" i="8" s="1"/>
  <c r="O52" i="8" a="1"/>
  <c r="O52" i="8" s="1"/>
  <c r="O51" i="8" a="1"/>
  <c r="O51" i="8" s="1"/>
  <c r="O50" i="8" a="1"/>
  <c r="O50" i="8" s="1"/>
  <c r="O196" i="8" a="1"/>
  <c r="O196" i="8" s="1"/>
  <c r="O111" i="8" a="1"/>
  <c r="O111" i="8" s="1"/>
  <c r="O45" i="8" a="1"/>
  <c r="O45" i="8" s="1"/>
  <c r="O48" i="8" a="1"/>
  <c r="O48" i="8" s="1"/>
  <c r="O47" i="8" a="1"/>
  <c r="O47" i="8" s="1"/>
  <c r="O46" i="8" a="1"/>
  <c r="O46" i="8" s="1"/>
  <c r="O73" i="8" a="1"/>
  <c r="O73" i="8" s="1"/>
  <c r="O8" i="8" a="1"/>
  <c r="O8" i="8" s="1"/>
  <c r="B13" i="8" s="1"/>
  <c r="O7" i="8" a="1"/>
  <c r="O7" i="8" s="1"/>
  <c r="B12" i="8" s="1"/>
  <c r="O43" i="8" a="1"/>
  <c r="O43" i="8" s="1"/>
  <c r="O42" i="8" a="1"/>
  <c r="O42" i="8" s="1"/>
  <c r="O41" i="8" a="1"/>
  <c r="O41" i="8" s="1"/>
  <c r="O40" i="8" a="1"/>
  <c r="O40" i="8" s="1"/>
  <c r="O127" i="8" a="1"/>
  <c r="O127" i="8" s="1"/>
  <c r="O238" i="8" a="1"/>
  <c r="O238" i="8" s="1"/>
  <c r="O39" i="8" a="1"/>
  <c r="O39" i="8" s="1"/>
  <c r="O106" i="8" a="1"/>
  <c r="O106" i="8" s="1"/>
  <c r="O38" i="8" a="1"/>
  <c r="O38" i="8" s="1"/>
  <c r="O37" i="8" a="1"/>
  <c r="O37" i="8" s="1"/>
  <c r="O35" i="8" a="1"/>
  <c r="O35" i="8" s="1"/>
  <c r="O44" i="8" a="1"/>
  <c r="O44" i="8" s="1"/>
  <c r="O33" i="8" a="1"/>
  <c r="O33" i="8" s="1"/>
  <c r="O32" i="8" a="1"/>
  <c r="O32" i="8" s="1"/>
  <c r="O31" i="8" a="1"/>
  <c r="O31" i="8" s="1"/>
  <c r="O30" i="8" a="1"/>
  <c r="O30" i="8" s="1"/>
  <c r="O34" i="8" a="1"/>
  <c r="O34" i="8" s="1"/>
  <c r="O28" i="8" a="1"/>
  <c r="O28" i="8" s="1"/>
  <c r="O27" i="8" a="1"/>
  <c r="O27" i="8" s="1"/>
  <c r="O29" i="8" a="1"/>
  <c r="O29" i="8" s="1"/>
  <c r="O26" i="8" a="1"/>
  <c r="O26" i="8" s="1"/>
  <c r="O25" i="8" a="1"/>
  <c r="O25" i="8" s="1"/>
  <c r="O24" i="8" a="1"/>
  <c r="O24" i="8" s="1"/>
  <c r="O23" i="8" a="1"/>
  <c r="O23" i="8" s="1"/>
  <c r="O22" i="8" a="1"/>
  <c r="O22" i="8" s="1"/>
  <c r="O21" i="8" a="1"/>
  <c r="O21" i="8" s="1"/>
  <c r="O20" i="8" a="1"/>
  <c r="O20" i="8" s="1"/>
  <c r="O16" i="8" a="1"/>
  <c r="O16" i="8" s="1"/>
  <c r="O15" i="8" a="1"/>
  <c r="O15" i="8" s="1"/>
  <c r="O14" i="8" a="1"/>
  <c r="O14" i="8" s="1"/>
  <c r="O13" i="8" a="1"/>
  <c r="O13" i="8" s="1"/>
  <c r="O12" i="8" a="1"/>
  <c r="O12" i="8" s="1"/>
  <c r="O206" i="8" a="1"/>
  <c r="O206" i="8" s="1"/>
  <c r="O19" i="8" a="1"/>
  <c r="O19" i="8" s="1"/>
  <c r="O10" i="8" a="1"/>
  <c r="O10" i="8" s="1"/>
  <c r="O114" i="8" a="1"/>
  <c r="O114" i="8" s="1"/>
  <c r="O9" i="8" a="1"/>
  <c r="O9" i="8" s="1"/>
  <c r="J33" i="8" a="1"/>
  <c r="J33" i="8" s="1"/>
  <c r="J32" i="8"/>
  <c r="J7" i="8"/>
  <c r="J8" i="8"/>
  <c r="J9" i="8"/>
  <c r="J10" i="8"/>
  <c r="J11" i="8"/>
  <c r="J12" i="8"/>
  <c r="J13" i="8"/>
  <c r="J14" i="8"/>
  <c r="J15" i="8"/>
  <c r="J16" i="8"/>
  <c r="J17" i="8"/>
  <c r="J18" i="8"/>
  <c r="J19" i="8"/>
  <c r="J20" i="8"/>
  <c r="J21" i="8"/>
  <c r="J31" i="8"/>
  <c r="J30" i="8"/>
  <c r="B27" i="8"/>
  <c r="B28" i="8"/>
  <c r="B30" i="8"/>
  <c r="B29" i="8"/>
  <c r="B25" i="8"/>
  <c r="B24" i="8"/>
  <c r="B23" i="8"/>
  <c r="B40" i="8"/>
  <c r="J29" i="8"/>
  <c r="J28" i="8"/>
  <c r="J27" i="8"/>
  <c r="J26" i="8"/>
  <c r="J25" i="8"/>
  <c r="J24" i="8"/>
  <c r="J23" i="8"/>
  <c r="J22" i="8"/>
  <c r="B5" i="8"/>
  <c r="C5" i="8" s="1"/>
  <c r="B4" i="8"/>
  <c r="C4" i="8" s="1"/>
  <c r="B38" i="8"/>
  <c r="B37" i="8"/>
  <c r="B36" i="8"/>
  <c r="B39" i="8"/>
  <c r="C6" i="8" l="1"/>
  <c r="F258" i="8" a="1"/>
  <c r="F258" i="8" s="1"/>
  <c r="G201" i="8" s="1"/>
  <c r="B15" i="8"/>
  <c r="B16" i="8"/>
  <c r="B17" i="8"/>
  <c r="J4" i="8"/>
  <c r="B11" i="8"/>
  <c r="J3" i="8"/>
  <c r="B10" i="8"/>
  <c r="B14" i="8"/>
  <c r="B41" i="8"/>
  <c r="C39" i="8" s="1"/>
  <c r="B32" i="8"/>
  <c r="C28" i="8" s="1"/>
  <c r="B18" i="8"/>
  <c r="G64" i="8" l="1"/>
  <c r="G252" i="8"/>
  <c r="G130" i="8"/>
  <c r="G233" i="8"/>
  <c r="G229" i="8"/>
  <c r="G87" i="8"/>
  <c r="G48" i="8"/>
  <c r="G26" i="8"/>
  <c r="G140" i="8"/>
  <c r="G257" i="8"/>
  <c r="G89" i="8"/>
  <c r="G107" i="8"/>
  <c r="G73" i="8"/>
  <c r="G238" i="8"/>
  <c r="G156" i="8"/>
  <c r="G235" i="8"/>
  <c r="G47" i="8"/>
  <c r="G63" i="8"/>
  <c r="G250" i="8"/>
  <c r="G160" i="8"/>
  <c r="G42" i="8"/>
  <c r="G8" i="8"/>
  <c r="G111" i="8"/>
  <c r="G70" i="8"/>
  <c r="G152" i="8"/>
  <c r="G163" i="8"/>
  <c r="G186" i="8"/>
  <c r="G128" i="8"/>
  <c r="G41" i="8"/>
  <c r="G150" i="8"/>
  <c r="G187" i="8"/>
  <c r="G72" i="8"/>
  <c r="G56" i="8"/>
  <c r="G93" i="8"/>
  <c r="G243" i="8"/>
  <c r="G141" i="8"/>
  <c r="G59" i="8"/>
  <c r="G245" i="8"/>
  <c r="G14" i="8"/>
  <c r="G212" i="8"/>
  <c r="G57" i="8"/>
  <c r="G189" i="8"/>
  <c r="G86" i="8"/>
  <c r="G18" i="8"/>
  <c r="G148" i="8"/>
  <c r="G224" i="8"/>
  <c r="G118" i="8"/>
  <c r="G60" i="8"/>
  <c r="G205" i="8"/>
  <c r="G134" i="8"/>
  <c r="G103" i="8"/>
  <c r="G126" i="8"/>
  <c r="G251" i="8"/>
  <c r="G96" i="8"/>
  <c r="G231" i="8"/>
  <c r="G52" i="8"/>
  <c r="G5" i="8"/>
  <c r="G32" i="8"/>
  <c r="G242" i="8"/>
  <c r="G76" i="8"/>
  <c r="G104" i="8"/>
  <c r="G182" i="8"/>
  <c r="G67" i="8"/>
  <c r="G82" i="8"/>
  <c r="G83" i="8"/>
  <c r="G234" i="8"/>
  <c r="G223" i="8"/>
  <c r="G49" i="8"/>
  <c r="G106" i="8"/>
  <c r="G114" i="8"/>
  <c r="G137" i="8"/>
  <c r="G97" i="8"/>
  <c r="G255" i="8"/>
  <c r="G219" i="8"/>
  <c r="G108" i="8"/>
  <c r="G241" i="8"/>
  <c r="G58" i="8"/>
  <c r="G113" i="8"/>
  <c r="G90" i="8"/>
  <c r="G213" i="8"/>
  <c r="G203" i="8"/>
  <c r="G169" i="8"/>
  <c r="G74" i="8"/>
  <c r="G143" i="8"/>
  <c r="G27" i="8"/>
  <c r="G146" i="8"/>
  <c r="G39" i="8"/>
  <c r="G135" i="8"/>
  <c r="G216" i="8"/>
  <c r="G249" i="8"/>
  <c r="G208" i="8"/>
  <c r="G161" i="8"/>
  <c r="G221" i="8"/>
  <c r="G174" i="8"/>
  <c r="G71" i="8"/>
  <c r="G240" i="8"/>
  <c r="G24" i="8"/>
  <c r="G206" i="8"/>
  <c r="G181" i="8"/>
  <c r="G154" i="8"/>
  <c r="G185" i="8"/>
  <c r="G253" i="8"/>
  <c r="G81" i="8"/>
  <c r="G51" i="8"/>
  <c r="G220" i="8"/>
  <c r="G192" i="8"/>
  <c r="G151" i="8"/>
  <c r="G196" i="8"/>
  <c r="G30" i="8"/>
  <c r="G91" i="8"/>
  <c r="G84" i="8"/>
  <c r="G244" i="8"/>
  <c r="G95" i="8"/>
  <c r="G125" i="8"/>
  <c r="G122" i="8"/>
  <c r="G167" i="8"/>
  <c r="G193" i="8"/>
  <c r="G133" i="8"/>
  <c r="G127" i="8"/>
  <c r="G79" i="8"/>
  <c r="G170" i="8"/>
  <c r="G29" i="8"/>
  <c r="G165" i="8"/>
  <c r="G191" i="8"/>
  <c r="G149" i="8"/>
  <c r="G155" i="8"/>
  <c r="G65" i="8"/>
  <c r="G138" i="8"/>
  <c r="G159" i="8"/>
  <c r="G35" i="8"/>
  <c r="G144" i="8"/>
  <c r="G37" i="8"/>
  <c r="G210" i="8"/>
  <c r="G50" i="8"/>
  <c r="G31" i="8"/>
  <c r="G139" i="8"/>
  <c r="G214" i="8"/>
  <c r="G232" i="8"/>
  <c r="G117" i="8"/>
  <c r="G226" i="8"/>
  <c r="G6" i="8"/>
  <c r="G43" i="8"/>
  <c r="G19" i="8"/>
  <c r="G132" i="8"/>
  <c r="G136" i="8"/>
  <c r="G209" i="8"/>
  <c r="G194" i="8"/>
  <c r="G184" i="8"/>
  <c r="G54" i="8"/>
  <c r="G166" i="8"/>
  <c r="G197" i="8"/>
  <c r="G178" i="8"/>
  <c r="G157" i="8"/>
  <c r="G153" i="8"/>
  <c r="G34" i="8"/>
  <c r="G45" i="8"/>
  <c r="G177" i="8"/>
  <c r="G75" i="8"/>
  <c r="G92" i="8"/>
  <c r="G10" i="8"/>
  <c r="G222" i="8"/>
  <c r="G16" i="8"/>
  <c r="G116" i="8"/>
  <c r="G28" i="8"/>
  <c r="G246" i="8"/>
  <c r="G7" i="8"/>
  <c r="G195" i="8"/>
  <c r="G171" i="8"/>
  <c r="G173" i="8"/>
  <c r="G198" i="8"/>
  <c r="G239" i="8"/>
  <c r="G247" i="8"/>
  <c r="G110" i="8"/>
  <c r="G254" i="8"/>
  <c r="G46" i="8"/>
  <c r="G78" i="8"/>
  <c r="G36" i="8"/>
  <c r="G77" i="8"/>
  <c r="G145" i="8"/>
  <c r="G204" i="8"/>
  <c r="G119" i="8"/>
  <c r="G109" i="8"/>
  <c r="G172" i="8"/>
  <c r="G11" i="8"/>
  <c r="G88" i="8"/>
  <c r="G129" i="8"/>
  <c r="G180" i="8"/>
  <c r="G53" i="8"/>
  <c r="G13" i="8"/>
  <c r="G66" i="8"/>
  <c r="G25" i="8"/>
  <c r="G101" i="8"/>
  <c r="G217" i="8"/>
  <c r="G9" i="8"/>
  <c r="G121" i="8"/>
  <c r="G44" i="8"/>
  <c r="G225" i="8"/>
  <c r="G94" i="8"/>
  <c r="G162" i="8"/>
  <c r="G17" i="8"/>
  <c r="G4" i="8"/>
  <c r="G23" i="8"/>
  <c r="G215" i="8"/>
  <c r="G99" i="8"/>
  <c r="G69" i="8"/>
  <c r="G211" i="8"/>
  <c r="G200" i="8"/>
  <c r="G62" i="8"/>
  <c r="G21" i="8"/>
  <c r="G40" i="8"/>
  <c r="G105" i="8"/>
  <c r="G98" i="8"/>
  <c r="G55" i="8"/>
  <c r="G227" i="8"/>
  <c r="G80" i="8"/>
  <c r="G131" i="8"/>
  <c r="G112" i="8"/>
  <c r="G188" i="8"/>
  <c r="G12" i="8"/>
  <c r="G168" i="8"/>
  <c r="G164" i="8"/>
  <c r="G158" i="8"/>
  <c r="G199" i="8"/>
  <c r="G237" i="8"/>
  <c r="G142" i="8"/>
  <c r="G207" i="8"/>
  <c r="G230" i="8"/>
  <c r="G22" i="8"/>
  <c r="G102" i="8"/>
  <c r="G183" i="8"/>
  <c r="G38" i="8"/>
  <c r="G20" i="8"/>
  <c r="G124" i="8"/>
  <c r="G115" i="8"/>
  <c r="G33" i="8"/>
  <c r="G202" i="8"/>
  <c r="G248" i="8"/>
  <c r="G85" i="8"/>
  <c r="G120" i="8"/>
  <c r="G100" i="8"/>
  <c r="G176" i="8"/>
  <c r="G61" i="8"/>
  <c r="G68" i="8"/>
  <c r="G175" i="8"/>
  <c r="G218" i="8"/>
  <c r="G147" i="8"/>
  <c r="G256" i="8"/>
  <c r="G228" i="8"/>
  <c r="G179" i="8"/>
  <c r="G236" i="8"/>
  <c r="G123" i="8"/>
  <c r="G15" i="8"/>
  <c r="G190" i="8"/>
  <c r="B19" i="8"/>
  <c r="C18" i="8" s="1"/>
  <c r="C24" i="8"/>
  <c r="C26" i="8"/>
  <c r="C30" i="8"/>
  <c r="C25" i="8"/>
  <c r="C29" i="8"/>
  <c r="C23" i="8"/>
  <c r="C31" i="8"/>
  <c r="C27" i="8"/>
  <c r="C37" i="8"/>
  <c r="C38" i="8"/>
  <c r="C36" i="8"/>
  <c r="C40" i="8"/>
  <c r="G258" i="8" l="1"/>
  <c r="C32" i="8"/>
  <c r="C12" i="8"/>
  <c r="C16" i="8"/>
  <c r="C15" i="8"/>
  <c r="C11" i="8"/>
  <c r="C17" i="8"/>
  <c r="C13" i="8"/>
  <c r="C10" i="8"/>
  <c r="C41" i="8"/>
  <c r="C14" i="8"/>
  <c r="C1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46" authorId="0" shapeId="0" xr:uid="{00000000-0006-0000-0000-000001000000}">
      <text>
        <r>
          <rPr>
            <sz val="11"/>
            <color theme="1"/>
            <rFont val="Calibri"/>
            <scheme val="minor"/>
          </rPr>
          <t>======
ID#AAAAYdhCEWc
Amy Jocelyne Chahín Ortega    (2022-04-21 19:10:04)
Preguntar a Sofia</t>
        </r>
      </text>
    </comment>
    <comment ref="H89" authorId="0" shapeId="0" xr:uid="{00000000-0006-0000-0000-000002000000}">
      <text>
        <r>
          <rPr>
            <sz val="11"/>
            <color theme="1"/>
            <rFont val="Calibri"/>
            <scheme val="minor"/>
          </rPr>
          <t>======
ID#AAAAYdhCEWg
VRI    (2022-04-21 19:10:04)
Anexo 2013: Modificación de clausulas correspondientes a candidatos y duración de los programas.</t>
        </r>
      </text>
    </comment>
    <comment ref="J126" authorId="0" shapeId="0" xr:uid="{00000000-0006-0000-0000-000003000000}">
      <text>
        <r>
          <rPr>
            <sz val="11"/>
            <color theme="1"/>
            <rFont val="Calibri"/>
            <scheme val="minor"/>
          </rPr>
          <t>======
ID#AAAAYdhCEWA
VRI    (2022-04-21 19:10:04)
Enviado a UNIFESP firmado,  el 29.10.2013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Enrique Garay</author>
    <author>Esteban Hernández Garay</author>
  </authors>
  <commentList>
    <comment ref="A10" authorId="0" shapeId="0" xr:uid="{00000000-0006-0000-0100-000001000000}">
      <text>
        <r>
          <rPr>
            <b/>
            <sz val="9"/>
            <color indexed="81"/>
            <rFont val="Tahoma"/>
            <family val="2"/>
          </rPr>
          <t>Esteban Hernández Garay:</t>
        </r>
        <r>
          <rPr>
            <sz val="9"/>
            <color indexed="81"/>
            <rFont val="Tahoma"/>
            <family val="2"/>
          </rPr>
          <t xml:space="preserve">
Incluye Rusia</t>
        </r>
      </text>
    </comment>
    <comment ref="A11" authorId="1" shapeId="0" xr:uid="{00000000-0006-0000-0100-000002000000}">
      <text>
        <r>
          <rPr>
            <b/>
            <sz val="9"/>
            <color indexed="81"/>
            <rFont val="Tahoma"/>
            <family val="2"/>
          </rPr>
          <t>Esteban Hernández Garay:</t>
        </r>
        <r>
          <rPr>
            <sz val="9"/>
            <color indexed="81"/>
            <rFont val="Tahoma"/>
            <family val="2"/>
          </rPr>
          <t xml:space="preserve">
Incluye Canadá, Estados Unidos (junto con Puerto Rico y demás territorios) y México.</t>
        </r>
      </text>
    </comment>
    <comment ref="A13" authorId="0" shapeId="0" xr:uid="{00000000-0006-0000-0100-000004000000}">
      <text>
        <r>
          <rPr>
            <b/>
            <sz val="9"/>
            <color indexed="81"/>
            <rFont val="Tahoma"/>
            <charset val="1"/>
          </rPr>
          <t xml:space="preserve">Esteban Hernández Garay: </t>
        </r>
        <r>
          <rPr>
            <sz val="9"/>
            <color indexed="81"/>
            <rFont val="Tahoma"/>
            <family val="2"/>
          </rPr>
          <t>Incluye convenios con más de una contraparte con origen en regiones distintas.</t>
        </r>
      </text>
    </comment>
    <comment ref="A15" authorId="1" shapeId="0" xr:uid="{00000000-0006-0000-0100-000003000000}">
      <text>
        <r>
          <rPr>
            <b/>
            <sz val="9"/>
            <color indexed="81"/>
            <rFont val="Tahoma"/>
            <family val="2"/>
          </rPr>
          <t>Esteban Hernández Garay:</t>
        </r>
        <r>
          <rPr>
            <sz val="9"/>
            <color indexed="81"/>
            <rFont val="Tahoma"/>
            <family val="2"/>
          </rPr>
          <t xml:space="preserve">
Incluye Panamá y Belice.</t>
        </r>
      </text>
    </comment>
    <comment ref="A16" authorId="1" shapeId="0" xr:uid="{00000000-0006-0000-0100-000005000000}">
      <text>
        <r>
          <rPr>
            <b/>
            <sz val="9"/>
            <color indexed="81"/>
            <rFont val="Tahoma"/>
            <family val="2"/>
          </rPr>
          <t>Esteban Hernández Garay:</t>
        </r>
        <r>
          <rPr>
            <sz val="9"/>
            <color indexed="81"/>
            <rFont val="Tahoma"/>
            <family val="2"/>
          </rPr>
          <t xml:space="preserve">
Excluye a Puerto Rico, que es considerado parte de los Estados Unidos.</t>
        </r>
      </text>
    </comment>
    <comment ref="A17" authorId="0" shapeId="0" xr:uid="{00000000-0006-0000-0100-000006000000}">
      <text>
        <r>
          <rPr>
            <b/>
            <sz val="9"/>
            <color indexed="81"/>
            <rFont val="Tahoma"/>
            <family val="2"/>
          </rPr>
          <t>Esteban Hernández Garay:</t>
        </r>
        <r>
          <rPr>
            <sz val="9"/>
            <color indexed="81"/>
            <rFont val="Tahoma"/>
            <family val="2"/>
          </rPr>
          <t xml:space="preserve">
Excluye a Rusia</t>
        </r>
      </text>
    </comment>
    <comment ref="A26" authorId="0" shapeId="0" xr:uid="{00000000-0006-0000-0100-000007000000}">
      <text>
        <r>
          <rPr>
            <b/>
            <sz val="9"/>
            <color indexed="81"/>
            <rFont val="Tahoma"/>
            <family val="2"/>
          </rPr>
          <t xml:space="preserve">Esteban Hernández Garay: </t>
        </r>
        <r>
          <rPr>
            <sz val="9"/>
            <color indexed="81"/>
            <rFont val="Tahoma"/>
            <family val="2"/>
          </rPr>
          <t>Incluye a) convenios con más de una contraparte que son distintos tipos de entidades y b) convenios con una contraparte que no puede clasificarse bajo una de las categorías principales.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trol de Convenios UNAH.xlsx!PAIS" type="102" refreshedVersion="5" minRefreshableVersion="5">
    <extLst>
      <ext xmlns:x15="http://schemas.microsoft.com/office/spreadsheetml/2010/11/main" uri="{DE250136-89BD-433C-8126-D09CA5730AF9}">
        <x15:connection id="PAIS-ea806ad7-c92b-4803-9fea-dc664182ede0">
          <x15:rangePr sourceName="_xlcn.WorksheetConnection_ControldeConveniosUNAH.xlsxPAIS1"/>
        </x15:connection>
      </ext>
    </extLst>
  </connection>
  <connection id="3" xr16:uid="{00000000-0015-0000-FFFF-FFFF02000000}" name="WorksheetConnection_Control de Convenios UNAH.xlsx!REGION" type="102" refreshedVersion="5" minRefreshableVersion="5">
    <extLst>
      <ext xmlns:x15="http://schemas.microsoft.com/office/spreadsheetml/2010/11/main" uri="{DE250136-89BD-433C-8126-D09CA5730AF9}">
        <x15:connection id="REGION-5fa000de-84de-4c52-a7cd-90da5f5aec47">
          <x15:rangePr sourceName="_xlcn.WorksheetConnection_ControldeConveniosUNAH.xlsxREGION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<sst xmlns="http://schemas.openxmlformats.org/spreadsheetml/2006/main" count="6108" uniqueCount="2508">
  <si>
    <t>CONVENIOS INTERNACIONALES SUSCRITOS POR LA UNAH</t>
  </si>
  <si>
    <t>N°</t>
  </si>
  <si>
    <t>CÓDIGO</t>
  </si>
  <si>
    <t>CONTRAPARTE</t>
  </si>
  <si>
    <t>PAÍS</t>
  </si>
  <si>
    <t>VÍNCULO ARCHIVO DIGITAL</t>
  </si>
  <si>
    <t>TIPO DE INSTRUMENTO</t>
  </si>
  <si>
    <t>TIPO DE ENTIDAD</t>
  </si>
  <si>
    <t>OBJETO</t>
  </si>
  <si>
    <t>UNIDAD IMPULSADORA</t>
  </si>
  <si>
    <t>FECHA ÚLTIMA FIRMA</t>
  </si>
  <si>
    <t>AÑO</t>
  </si>
  <si>
    <t>DURACIÓN</t>
  </si>
  <si>
    <t>VIGENCIA</t>
  </si>
  <si>
    <t>OBSERVACIONES</t>
  </si>
  <si>
    <t>CONTACTOS/RESPONSABLES</t>
  </si>
  <si>
    <t>RESULTADOS/FICHA DE SEGUIMIENTO</t>
  </si>
  <si>
    <t>X-01-PA</t>
  </si>
  <si>
    <t>Universidad de Panamá (UP)</t>
  </si>
  <si>
    <t>Panamá</t>
  </si>
  <si>
    <t>Convenio Marco</t>
  </si>
  <si>
    <t>Institución Educativa</t>
  </si>
  <si>
    <t>Cooperación académica, científica y cultural</t>
  </si>
  <si>
    <t>N/D</t>
  </si>
  <si>
    <t>Indefinida</t>
  </si>
  <si>
    <t>Vigente</t>
  </si>
  <si>
    <t>No cuenta con antecedentes, documentos de respaldo o fechas de firmas. Firmó rectora de la UNAH Ana Belén Castillo (1997-2003) y Gustavo García de Paredes de la UP (1994-2016).</t>
  </si>
  <si>
    <t>X-02-TW</t>
  </si>
  <si>
    <t>Universidad de Kun Shan</t>
  </si>
  <si>
    <t>Taiwán</t>
  </si>
  <si>
    <t>Memorándum de Entendimiento</t>
  </si>
  <si>
    <t>Mejorar la capacidad de ambas institutionces para aclanzar sus misiones y objetivos académicos en intercambio de profesores, participación en conferencias, intercambio de material</t>
  </si>
  <si>
    <t>No cuenta con antecedentes, documentos de respaldo o fechas de firmas. No se encontró información del rector de la contraparte. Firmó rector Raúl Antonio Santos Maldonado (2006-2007).</t>
  </si>
  <si>
    <t>X-03-AR</t>
  </si>
  <si>
    <t>Universidad Nacional de Córdoba (UNC)</t>
  </si>
  <si>
    <t>Argentina</t>
  </si>
  <si>
    <t>X-05-AR</t>
  </si>
  <si>
    <t>Cooperación general</t>
  </si>
  <si>
    <t>3 años</t>
  </si>
  <si>
    <t>No vigente</t>
  </si>
  <si>
    <t>No cuenta con antecedentes, documentos de respaldo o fechas de firmas. Firmó rectora de la UNAH Ana Belén Castillo (1997-2003) y Tomás Pardina de la UNC (2000-2001).</t>
  </si>
  <si>
    <t>1983-01-MX</t>
  </si>
  <si>
    <t>Instituto Tecnológico de Estudios Superiores de Monterrey (ITESM)</t>
  </si>
  <si>
    <t>México</t>
  </si>
  <si>
    <t>Convenio Específico</t>
  </si>
  <si>
    <t>Capacitación de docentes de la Facultad de Ciencias Económicas (12 cursos por valor de $5,500.00 cada uno)</t>
  </si>
  <si>
    <t>Facultad de Ciencias Económicas, Administrativas y Contables</t>
  </si>
  <si>
    <t>Hasta 21 de julio de 1984</t>
  </si>
  <si>
    <t>Se mencionan anexos en convenio (I al VI), pero no están escaneados.</t>
  </si>
  <si>
    <t>1994-01-CA</t>
  </si>
  <si>
    <t>Universidad de Laval</t>
  </si>
  <si>
    <t>Canadá</t>
  </si>
  <si>
    <t>Cooperación para fomentar la investigación, intercambios,  la formación, publicaciones y desarrollo de bibliotecas</t>
  </si>
  <si>
    <t>10 de noviembre de 1994</t>
  </si>
  <si>
    <t>5 años</t>
  </si>
  <si>
    <t>1997-01-DE</t>
  </si>
  <si>
    <t>Servicio Alemán de Intercambio Académico (Deutscher Akademischer Austauschdienst) (DAAD)</t>
  </si>
  <si>
    <t>Alemania</t>
  </si>
  <si>
    <t>Agencia extranjera de cooperación</t>
  </si>
  <si>
    <t>Participación en el programa "INTERCAMBIO REGIONAL DE DOCENTES-DAAD"</t>
  </si>
  <si>
    <t>25 de septiembre de 1997</t>
  </si>
  <si>
    <t>2 años, renovación automática</t>
  </si>
  <si>
    <t>Penúltima página de convenio en archivo incompleta. Reemplazado por Convenio 2013-20-DE.</t>
  </si>
  <si>
    <t>1998-01-INT</t>
  </si>
  <si>
    <t>Universidad para la Paz (UPAZ), Costa Rica</t>
  </si>
  <si>
    <t>Organización Internacional</t>
  </si>
  <si>
    <t>Cooperación en docencia, investigación y cultura</t>
  </si>
  <si>
    <t>Facultad de Ciencias Jurídicas</t>
  </si>
  <si>
    <t>7 de septiembre de 1998</t>
  </si>
  <si>
    <t>5 años, renovación automática</t>
  </si>
  <si>
    <t>Reemplazado por nuevo convenio. Si bien la sede de UPAZ se encuentra en Costa Rica, no es una institución educativa costarricense, sino un órgano especializado de la Organización de las Naciones Unidas (ONU).</t>
  </si>
  <si>
    <t>1999-01-CO</t>
  </si>
  <si>
    <t>Universidad de Antioquia</t>
  </si>
  <si>
    <t>Colombia</t>
  </si>
  <si>
    <t>Colaboración en los campos de docencia, investigación y difusión de la cultura</t>
  </si>
  <si>
    <t>22 de abril de 1999</t>
  </si>
  <si>
    <t>1999-02-CO</t>
  </si>
  <si>
    <t>Politécnico Colombiano Jaime Izasa Cadavid</t>
  </si>
  <si>
    <t>Facilitar e incentivar el intercambio de talento humano, recurso técnico y académico, fomentando el desarrollo científico e investigativo</t>
  </si>
  <si>
    <t>1999-03-MX</t>
  </si>
  <si>
    <t>Universidad Autónoma del Estado de Morelos (UAEM)</t>
  </si>
  <si>
    <t>Cooperación en actividades de interés para ambas partes: intercambio de academicos y estudiantes, participación en seminarios, intercambio de documentos científicos y de esneñanza, programas conjuntos de formación</t>
  </si>
  <si>
    <t>CUROC</t>
  </si>
  <si>
    <t>14 de noviembre de 1997</t>
  </si>
  <si>
    <t>1999-04-US</t>
  </si>
  <si>
    <t>Global One Communications Central America, Inc.</t>
  </si>
  <si>
    <t>Estados Unidos</t>
  </si>
  <si>
    <t>Sociedad Mercantil</t>
  </si>
  <si>
    <t>Cooperación para la tecnología y la comunicación</t>
  </si>
  <si>
    <t>12 de agosto de 1999</t>
  </si>
  <si>
    <t>1 año, renovación automática</t>
  </si>
  <si>
    <t>El consorcio Global One (Sprint de EUA, Deutsche Telekom de Alemania y France Telecom de Francia) colapsó en el año 2000. Se desconoce la repartición de obligaciones entre sus sucesores. A pesar de contar con renovación automática, para efectos prácticos se considera no vigente. Fuente: http://news.cnet.com/Global-One-joint-venture-collapses/2100-1033_3-236134.html</t>
  </si>
  <si>
    <t>2000-01-CR</t>
  </si>
  <si>
    <t>Universidad de Costa Rica (UCR)</t>
  </si>
  <si>
    <t>Costa Rica</t>
  </si>
  <si>
    <t>Proyecto: Maestría con Enfasis en Administración de Empresas Cooperativas</t>
  </si>
  <si>
    <t>30 de junio del 2000</t>
  </si>
  <si>
    <t>2000-02-ES</t>
  </si>
  <si>
    <t>Universidad de Cádiz (UCA)</t>
  </si>
  <si>
    <t>España</t>
  </si>
  <si>
    <t>Fortalecimiento y mejoramiento cualitativo de las areas de formación en especialidades maritimas, portuarias y canalera</t>
  </si>
  <si>
    <t>19 de mayo del 2000</t>
  </si>
  <si>
    <t>2000-03-MX</t>
  </si>
  <si>
    <t>Universidad Juárez del Estado de Durango (UJED)</t>
  </si>
  <si>
    <t>Cooperación en docencia, investigación, intercambio</t>
  </si>
  <si>
    <t>Facultad de Ingeniería</t>
  </si>
  <si>
    <t>4 de abril del 2000</t>
  </si>
  <si>
    <t>UNAH: Adolfo Raquel Quan (Decano F. Ingeniería en el 2000)</t>
  </si>
  <si>
    <t>2000-04-INT</t>
  </si>
  <si>
    <t>Secretaria General del Sistema de la Integración Centroamericana (SG-SICA)</t>
  </si>
  <si>
    <t>Cooperación en Actividades Docentes, formativas de difusión cultural, y en proyectos de investigación</t>
  </si>
  <si>
    <t>10 de abril del 2000</t>
  </si>
  <si>
    <t>2001-01-ES</t>
  </si>
  <si>
    <t>Universidad de Valencia (Universitat de València) (UV)</t>
  </si>
  <si>
    <t>Facilitar la cooperación interuniversitaria en los campos de la enseñanza y la investigación en el campo jurídico, económico, científico y humanístico</t>
  </si>
  <si>
    <t>10 de mayo del 2001</t>
  </si>
  <si>
    <t>4 años, renovación automática</t>
  </si>
  <si>
    <t>2001-02-ES</t>
  </si>
  <si>
    <t>Universidad de Salamanca (USAL)</t>
  </si>
  <si>
    <t xml:space="preserve">Cooperación en intercambiso, publicaciones, seminarios internacionales, </t>
  </si>
  <si>
    <t>15 de mayo del 2001</t>
  </si>
  <si>
    <t>2001-02-INT</t>
  </si>
  <si>
    <t>Instituto Latinoamericano de la Comunicación Educativa (ILCE)</t>
  </si>
  <si>
    <t>Establecer las bases para que la UNAH sea sede del Programa del Posgrado Latinoamericano de Comunicación y Tecnologías Educativas en sus modalidades de especialidad y maestria</t>
  </si>
  <si>
    <t>Carrera de Pedagogía</t>
  </si>
  <si>
    <t>25 de junio del 2001</t>
  </si>
  <si>
    <t>Duración del programa</t>
  </si>
  <si>
    <t>2002-01-CU</t>
  </si>
  <si>
    <t>Universidad de Matanzas Camilo Cienfuegos (UMCC)</t>
  </si>
  <si>
    <t>Cuba</t>
  </si>
  <si>
    <t>Cooperación en áreas de académico, científico y cultural</t>
  </si>
  <si>
    <t>18 de marzo del 2002</t>
  </si>
  <si>
    <t>2002-02-CU</t>
  </si>
  <si>
    <t>Universidad Pedagógica "Enrique José Varona" (UPEJV)</t>
  </si>
  <si>
    <t>Cooperación en investigación Académica, docencia y cultural</t>
  </si>
  <si>
    <t>20 de marzo del 2002</t>
  </si>
  <si>
    <t>2002-03-CU</t>
  </si>
  <si>
    <t>Universidad de La Habana (UH)</t>
  </si>
  <si>
    <t>Cooperación en docencia, investigación, extensión, cultura, tecnología, administración, intercambio académico.</t>
  </si>
  <si>
    <t>21 de marzo del 2002</t>
  </si>
  <si>
    <t>2002-04-CU</t>
  </si>
  <si>
    <t>Maestría en Estudios Políticos y Sociales</t>
  </si>
  <si>
    <t>2002-05-CU</t>
  </si>
  <si>
    <t>Instituto Pedagógico Latinoamericano y Caribeño de La Habana (IPLAC)</t>
  </si>
  <si>
    <t>Cooperación en los programas de cursos, diplomados, talleres, conferencias y publicaciones</t>
  </si>
  <si>
    <t>25 de marzo del 2002</t>
  </si>
  <si>
    <t>2002-06-CU</t>
  </si>
  <si>
    <t>Universidad de Pinar del Río Hermanos Saíz Montes de Oca (UPR)</t>
  </si>
  <si>
    <t>Cooperación en académico, científico y de extensión universitaria</t>
  </si>
  <si>
    <t>27 de marzo del 2002</t>
  </si>
  <si>
    <t>2002-07-CU</t>
  </si>
  <si>
    <t>Universidad de Holguin "Oscar Lucero Moya" (UHOLM)</t>
  </si>
  <si>
    <t>Desarrollo de relaciones académicas, culturales y científicas</t>
  </si>
  <si>
    <t>23 de agosto del 2002</t>
  </si>
  <si>
    <t>2002-08-MX</t>
  </si>
  <si>
    <t>Benemérita Universidad Autónoma de Puebla (BUAP)</t>
  </si>
  <si>
    <t>Promover intercambio de profesores y estudiantes, facilitar actividades conjuntas de investigación, participación en seminarios, conferencias, simposios</t>
  </si>
  <si>
    <t>Facultad de Química y Farmacia</t>
  </si>
  <si>
    <t>22 de julio del 2002</t>
  </si>
  <si>
    <t>4 años</t>
  </si>
  <si>
    <t>Dra. Maria Victoria Zelaya</t>
  </si>
  <si>
    <t>2003-01-INT</t>
  </si>
  <si>
    <t>Comunidad Europea</t>
  </si>
  <si>
    <t>Contrato de Subvención</t>
  </si>
  <si>
    <t>Diseño y ejecución de la Maestría en Epidemología</t>
  </si>
  <si>
    <t>Facultad de Ciencias Médicas</t>
  </si>
  <si>
    <t>4 de julio de 2003</t>
  </si>
  <si>
    <t>2 años</t>
  </si>
  <si>
    <t>Anexos en archivo físico únicamente (muy extensos).</t>
  </si>
  <si>
    <t>2003-02-ES</t>
  </si>
  <si>
    <t>Fundación de Desarrollo Sostenido (FUNDESO)</t>
  </si>
  <si>
    <t>Organización No Gubernamental (ONG)</t>
  </si>
  <si>
    <t>Desarrollo conjunto de actividades vinculadas con sus objetivos.</t>
  </si>
  <si>
    <t>18 meses</t>
  </si>
  <si>
    <r>
      <rPr>
        <sz val="10"/>
        <color theme="1"/>
        <rFont val="Calibri"/>
      </rPr>
      <t xml:space="preserve">Sin firma de FUNDESO. </t>
    </r>
    <r>
      <rPr>
        <b/>
        <sz val="10"/>
        <color theme="1"/>
        <rFont val="Calibri"/>
      </rPr>
      <t>Se contactó a FUNDESO por e-mail el 18-MAR-15 para corroborar si se suscribió convenio, sin respuesta al 2017.</t>
    </r>
  </si>
  <si>
    <t>2004-01-AR</t>
  </si>
  <si>
    <t>Universidad Nacional del Litoral (UNL)</t>
  </si>
  <si>
    <t>Actividades de formación de personal docente, investigación científica, desrrollo tecnológico, intercambio de académicos y estudiantes.</t>
  </si>
  <si>
    <t>11 de febrero del 2004</t>
  </si>
  <si>
    <t>2004-02-CL</t>
  </si>
  <si>
    <t>Universidad de Playa Ancha de Ciencias de la Educación (UPLA)</t>
  </si>
  <si>
    <t>Chile</t>
  </si>
  <si>
    <t>Facilitar y promover la cooperación en los campos de enseñanza, investigación y cultura</t>
  </si>
  <si>
    <t>DICYP</t>
  </si>
  <si>
    <t>21 de julio del 2004</t>
  </si>
  <si>
    <r>
      <rPr>
        <sz val="10"/>
        <color theme="1"/>
        <rFont val="Calibri"/>
      </rPr>
      <t xml:space="preserve">Falta firma del rector chileno. </t>
    </r>
    <r>
      <rPr>
        <b/>
        <sz val="10"/>
        <color theme="1"/>
        <rFont val="Calibri"/>
      </rPr>
      <t>Pedir copia a Rectoría.</t>
    </r>
  </si>
  <si>
    <t>2004-03-CO</t>
  </si>
  <si>
    <t xml:space="preserve">Universidad del Valle </t>
  </si>
  <si>
    <t>Colaboración en el campo de docencia, investigación y extensión universitaria</t>
  </si>
  <si>
    <t>24 de septiembre del 2004</t>
  </si>
  <si>
    <t>2004-04-ES</t>
  </si>
  <si>
    <t>Desarrollo integral de los países</t>
  </si>
  <si>
    <t>CURLA</t>
  </si>
  <si>
    <t>3 años, renovación automática</t>
  </si>
  <si>
    <r>
      <rPr>
        <sz val="10"/>
        <color theme="1"/>
        <rFont val="Calibri"/>
      </rPr>
      <t xml:space="preserve">No se encuentra en archivo físico después de varias revisiones. </t>
    </r>
    <r>
      <rPr>
        <b/>
        <sz val="10"/>
        <color theme="1"/>
        <rFont val="Calibri"/>
      </rPr>
      <t>BUSCARLO AL REORGANIZAR EL ARCHIVO</t>
    </r>
    <r>
      <rPr>
        <sz val="10"/>
        <color theme="1"/>
        <rFont val="Calibri"/>
      </rPr>
      <t>. SE HABIA RENOVADO EL CONVENIO MARCO.</t>
    </r>
  </si>
  <si>
    <t>2004-05-US</t>
  </si>
  <si>
    <t>Universidad de Texas en San Antonio (University of Texas at San Antonio, UTSA)</t>
  </si>
  <si>
    <t>Desarrollo de proyectos de investigación, organización de actividades, intercambio de publicaciones y estudiantes.</t>
  </si>
  <si>
    <t>22 de octubre del 2004</t>
  </si>
  <si>
    <t xml:space="preserve">2 años  </t>
  </si>
  <si>
    <t>2004-06-VAR</t>
  </si>
  <si>
    <t>Red de Macrouniversidades de América Latina y el Caribe</t>
  </si>
  <si>
    <t>Varios</t>
  </si>
  <si>
    <t>Red Universitaria</t>
  </si>
  <si>
    <t>19 de octubre del 2004</t>
  </si>
  <si>
    <t>2005-01-CL</t>
  </si>
  <si>
    <t>Maestría en Educación Ambiental</t>
  </si>
  <si>
    <t>Mayo del 2005</t>
  </si>
  <si>
    <r>
      <rPr>
        <sz val="10"/>
        <color theme="1"/>
        <rFont val="Calibri"/>
      </rPr>
      <t xml:space="preserve">No está firmado por rector hondureño. </t>
    </r>
    <r>
      <rPr>
        <b/>
        <sz val="10"/>
        <color theme="1"/>
        <rFont val="Calibri"/>
      </rPr>
      <t>Pedir copia a Rectoría.</t>
    </r>
  </si>
  <si>
    <t>2005-02-MX</t>
  </si>
  <si>
    <t>Universidad Nacional Autónoma de México (UNAM)</t>
  </si>
  <si>
    <t>Cooperación en docencia, la investigación, la extensión, y difusión de la cultura y los servicios de apoyo técnico y tecnológico.</t>
  </si>
  <si>
    <t>22 de junio del 2005</t>
  </si>
  <si>
    <t>2005-03-VAR</t>
  </si>
  <si>
    <t>Escuela Regional de Hoteleria y Turismo Francesa Paul Augier, Fundación Madrid-Hotel Escuela Madrid</t>
  </si>
  <si>
    <t>Desarrollo de Carrera de Técnico Universitario en Alimentos y Bebidas como Grado Asociado</t>
  </si>
  <si>
    <t>Carreras Tecnológicas</t>
  </si>
  <si>
    <t>2.5 años</t>
  </si>
  <si>
    <t>Renovado por medio de convenio 2008-12-VAR.</t>
  </si>
  <si>
    <t>2006-01-CA</t>
  </si>
  <si>
    <t>Universidad de Brock</t>
  </si>
  <si>
    <t>Cooperación académica y científica</t>
  </si>
  <si>
    <t>10 de julio del 2006</t>
  </si>
  <si>
    <t>2006-02-ES</t>
  </si>
  <si>
    <t>Universidad de Alcalá (UAH)</t>
  </si>
  <si>
    <t>Desarrollar de forma conjunta proyectos de carácter jurídico, económico, científico y humanístico</t>
  </si>
  <si>
    <t>Facultad de Ciencias Espaciales</t>
  </si>
  <si>
    <t>Renovado por medio de convenio 2012-09-ES.</t>
  </si>
  <si>
    <t>2006-03-CH</t>
  </si>
  <si>
    <t>Agencia Suiza para el Desarrollo y la Cooperación (COSUDE)</t>
  </si>
  <si>
    <t>Suiza</t>
  </si>
  <si>
    <t>Desarrollo del proyecto "Fortalecimiento de la Maestría en Gestión de Riesgos y Manejo de Desastres"</t>
  </si>
  <si>
    <t xml:space="preserve">Facultad de Ciencias, Departamento de Física, DICYP
</t>
  </si>
  <si>
    <t>27 de octubre de 2006</t>
  </si>
  <si>
    <t>UNAH: Dr. Nabil Kawas</t>
  </si>
  <si>
    <t>2007-01-DE</t>
  </si>
  <si>
    <t>Instituto de Estudios Latinoamericanos de la Universidad Libre de Berlín (Lateinamerika-Institut Freie Universität Berlin) (LAI)</t>
  </si>
  <si>
    <t>21 de diciembre del 2007</t>
  </si>
  <si>
    <t>2007-02-AR</t>
  </si>
  <si>
    <t>Universidad Nacional de Luján (UNLU)</t>
  </si>
  <si>
    <t>Cooperación académica, cultural, tecnológico y de servicio</t>
  </si>
  <si>
    <t>1 de noviembre del 2007</t>
  </si>
  <si>
    <r>
      <rPr>
        <sz val="10"/>
        <color theme="1"/>
        <rFont val="Calibri"/>
      </rPr>
      <t xml:space="preserve">Sin firma del rector argentino. </t>
    </r>
    <r>
      <rPr>
        <b/>
        <sz val="10"/>
        <color theme="1"/>
        <rFont val="Calibri"/>
      </rPr>
      <t>Pedir copia a Rectoría.</t>
    </r>
  </si>
  <si>
    <t>2007-03-CA</t>
  </si>
  <si>
    <t>Universidad de Calgary</t>
  </si>
  <si>
    <t>Proyecto: Maestría en la Gestión de Recursos Hidricos</t>
  </si>
  <si>
    <t>Facultad de Ciencias, Departamento de Física</t>
  </si>
  <si>
    <t>Febrero del 2007</t>
  </si>
  <si>
    <t>Hasta diciembre del 2010</t>
  </si>
  <si>
    <t>Fue enmendado el 31 de enero del 2011, enmienda en archivo digital.</t>
  </si>
  <si>
    <t>2007-04-US</t>
  </si>
  <si>
    <t>Promover el interés en las actividades de enseñanza e investigación, profundizar el entendimiento en asuntos económicos, culturales y sociales.</t>
  </si>
  <si>
    <t>Facultad de Ingeniería, DICYP</t>
  </si>
  <si>
    <t>20 de agosto del 2007</t>
  </si>
  <si>
    <t>10 años</t>
  </si>
  <si>
    <t>2008-01-CA</t>
  </si>
  <si>
    <t>Otros</t>
  </si>
  <si>
    <t>Donación</t>
  </si>
  <si>
    <t>Facultad de Ciencias, Departamento de Microbiología</t>
  </si>
  <si>
    <t>16 de diciembre del 2008</t>
  </si>
  <si>
    <t>Pendiente determinar</t>
  </si>
  <si>
    <t>Pendiente determinar duración - El Subconvenio indica que existe un Convenio primario donde se establece la duración. Convenio primario no se encontro en los archivos.</t>
  </si>
  <si>
    <t>Vilma Esther Espinoza. Tel. 2252 0282. Cel. 9982 2594. veespinoza@yahoo.com</t>
  </si>
  <si>
    <t>2008-02-CR</t>
  </si>
  <si>
    <t>Establecer las bases legales en el marco de las respectivas políticas para realizar diversos proyectos de cooperación.</t>
  </si>
  <si>
    <t>VOAE</t>
  </si>
  <si>
    <r>
      <rPr>
        <sz val="10"/>
        <color theme="1"/>
        <rFont val="Calibri"/>
      </rPr>
      <t xml:space="preserve">No está firmado por rector de CR. </t>
    </r>
    <r>
      <rPr>
        <b/>
        <sz val="10"/>
        <color theme="1"/>
        <rFont val="Calibri"/>
      </rPr>
      <t>Pedir copia a VOAE</t>
    </r>
  </si>
  <si>
    <t>2008-03-CU</t>
  </si>
  <si>
    <t>Desarrollar la "Especialidad en Diseño, Gestión y Evaluación Curricular". Que la UPEJV capacite al 90% de los docentes de la UNAH en la referida especialidad.</t>
  </si>
  <si>
    <t>Documento no especifica fecha de firma.</t>
  </si>
  <si>
    <t>2008-04-ES</t>
  </si>
  <si>
    <t>Regular participación de la Universidad de Alcalá en Maestría en ordenamiento y gestión del territorio (MOGT) de la UNAH</t>
  </si>
  <si>
    <t>4 de diciembre del 2008</t>
  </si>
  <si>
    <t xml:space="preserve">Finalización de la Maestría </t>
  </si>
  <si>
    <t>2008-05-MX</t>
  </si>
  <si>
    <t>Universidad de Quintana Roo (UQROO)</t>
  </si>
  <si>
    <t>Fomentar elintercambio de personal académico en los campos de la docencia, investigación y extensión, tranferencia de tecnología</t>
  </si>
  <si>
    <t>4 de noviembre del 2008</t>
  </si>
  <si>
    <t>2008-06-US</t>
  </si>
  <si>
    <t>Academic and Professional Program for the Americas (LASPAU)</t>
  </si>
  <si>
    <t>Establecer las bases para ejecutar el proyecto Aprender con el proposito de proveer un sistema de evaluación, capacitación y desarrollo del profesorado en UNAH basado en el modelo de competencias TALBOK.</t>
  </si>
  <si>
    <t>1 año</t>
  </si>
  <si>
    <t>Sin escanear</t>
  </si>
  <si>
    <t>2008-07-VAR</t>
  </si>
  <si>
    <t>Asociación Latinoamericana  de Facultades y Escuelas de Contaduría y Administración (ALAFEC)</t>
  </si>
  <si>
    <t>Promover la colaboración académica de manera multilateral, apoyando la movilidad de estudiantes y profesores, el desarrollo de investigaciones conjuntas</t>
  </si>
  <si>
    <t>2008-08-INT</t>
  </si>
  <si>
    <t>Organización de las Naciones Unidas para la Agricultura y Alimentación (FAO)</t>
  </si>
  <si>
    <t>Contribución de L. 87,000.00 de la FAO al CURLA para la ejecución del proyecto "Ayuda de emergencia para las familias rurales afectadas por las inundaciones para restaurar sus medios de vida, seguridad alimentaria y prevención de enfermedades animales" en Yoro.</t>
  </si>
  <si>
    <t xml:space="preserve">CURLA  </t>
  </si>
  <si>
    <t>Duración del proyecto</t>
  </si>
  <si>
    <r>
      <rPr>
        <sz val="10"/>
        <color theme="1"/>
        <rFont val="Calibri"/>
      </rPr>
      <t xml:space="preserve">No está firmado por Director CURLA, Visión Mundial. Menciona anexos que no están en expediente. </t>
    </r>
    <r>
      <rPr>
        <b/>
        <sz val="10"/>
        <color theme="1"/>
        <rFont val="Calibri"/>
      </rPr>
      <t>Pedir a CURLA.</t>
    </r>
  </si>
  <si>
    <t>2008-09-INT</t>
  </si>
  <si>
    <t>Organización Panamericana de la Salud (OPS) / Organización Mundial de la Salud (OMS)</t>
  </si>
  <si>
    <t>Realización de diagnóstico sobre la situación de los recursos humanos en el área de la salud en Honduras, por un valor de L. 113,400.00 pagados por la OPS/OMS a la UNAH.</t>
  </si>
  <si>
    <t>Facultad de Ciencias Médicas, Post grado de Salud Pública</t>
  </si>
  <si>
    <t>4 meses</t>
  </si>
  <si>
    <t>2008-10-INT</t>
  </si>
  <si>
    <t>Programa de las Naciones Unidas para el Desarrollo (PNUD)</t>
  </si>
  <si>
    <t>Ejecución del proyecto Asociativo de apoyo a la Educación, Capacitación e Investigación en Derechos Humanos en Centroamérica-Honduras</t>
  </si>
  <si>
    <t xml:space="preserve">VRA </t>
  </si>
  <si>
    <t>PNUD: Rocío Tabora, Coord. Unidad de Gobernabilidad, rocio.tabora@undp.org, Patricia Deniz Alonso, Oficial Unidad de Gobernabilidad, patricia.deniz@undp.org, 2236-9570. UNAH: Dra. Rutilia Calderón</t>
  </si>
  <si>
    <t>2008-11-VAR</t>
  </si>
  <si>
    <t>Red Universitaria de Cooperación para el Desarrollo de Centroamérica (U. de Alcalá, U. Nacional Autónoma de Nicaragua, Universidad de El Salvador, Instituto Tecnológico de Costa Rica, Universidad Pedagógica Nacional Francisco Morazán) RED GIRA</t>
  </si>
  <si>
    <t>Colaboración conjunta para un desarrollo incluyente de la región</t>
  </si>
  <si>
    <t>VRI</t>
  </si>
  <si>
    <t>11 de noviembre del 2008</t>
  </si>
  <si>
    <t>2008-12-VAR</t>
  </si>
  <si>
    <t>4 de febrero del 2008</t>
  </si>
  <si>
    <t>Copia en archivo de mala calidad. Sin antecedentes. Renovación de anterior convenio 2005-03-VAR.</t>
  </si>
  <si>
    <t>2008-13-VAR</t>
  </si>
  <si>
    <t>Universidad de Manitoba (UM) Canadá, Universidad de Costa Rica (UCR) Costa Rica, Universidad Nacional Agraria (UNA) Nicaragua</t>
  </si>
  <si>
    <t>Ejecucion del proyecto "Manejo de plagasa nivel comunitario en la agricultura centroamericana"</t>
  </si>
  <si>
    <t>CURLA, Departamento de Producción Vegetal</t>
  </si>
  <si>
    <t>6 años</t>
  </si>
  <si>
    <t>Copia en archivo solo tiene firma de rectoría UNAH. Tiene Addendum del 2012.</t>
  </si>
  <si>
    <t>2008-14-SE</t>
  </si>
  <si>
    <t>Swedish International Development Agency (Agencia Sueca de Desarrollo Internacional), (SIDA, ASDI)</t>
  </si>
  <si>
    <t>Suecia</t>
  </si>
  <si>
    <t>Apoyo a la investigación científica de la UNAH</t>
  </si>
  <si>
    <t>30 de octubre de 2008</t>
  </si>
  <si>
    <t>Hasta 30 de junio de 2011</t>
  </si>
  <si>
    <t>Se desconocen antecedentes de este convenio. Se encontró en internet.</t>
  </si>
  <si>
    <t>2008-15-VAR</t>
  </si>
  <si>
    <t>Universidad de Alcalá (UAH), Universidad Autónoma de Madrid (UAM), Universidad de Valencia (UV), Universidad de Zaragoza (UZ), Instituto Tecnológico de Costa Rica (ITCR), Universidad de El Salvador (UES), Universidad Pedagógica Nacional Francisco Morazán (UPNFM), Universidad Nacional Autónoma de Nicaragua, León (UNAN-León), Universidad de las Regiones Autónomas de la Costa Caribe, Nicaragua (URACCAN)</t>
  </si>
  <si>
    <t>Carta de Intenciones</t>
  </si>
  <si>
    <t>"Declaración de León", cooperación general</t>
  </si>
  <si>
    <t>21 de julio de 2008</t>
  </si>
  <si>
    <t>2008-16-US</t>
  </si>
  <si>
    <t>Health Volunteers Overseas (HVO)</t>
  </si>
  <si>
    <t>Colaboración de voluntarios de HVO en el departamento de odontología de UNAH-VS</t>
  </si>
  <si>
    <t>UNAH-VS</t>
  </si>
  <si>
    <t>2 de julio de 2008</t>
  </si>
  <si>
    <t>Agregado de archivo de Secretaría General.</t>
  </si>
  <si>
    <t>HVO: Dr. Kevin Hardwick, Barbara Edwards, b.edwards@hvousa.org Fax: 202-296-8018 UNAH-VS: Dra. Norma Espinal Baggia de Rubí</t>
  </si>
  <si>
    <t>2009-01-ES</t>
  </si>
  <si>
    <t>Escuela Andaluza de Salud Pública (EASP)</t>
  </si>
  <si>
    <t>Cooperación en áreas de salud publica</t>
  </si>
  <si>
    <t>22 de abril del 2009</t>
  </si>
  <si>
    <t>Duración del Diplomado (120 horas)</t>
  </si>
  <si>
    <t>2009-02-ES</t>
  </si>
  <si>
    <t>Universidad de Sevilla (US)</t>
  </si>
  <si>
    <t>Intercambio de experiencias y personal en los campos de docencia, investigación y cultura</t>
  </si>
  <si>
    <t>Instituto de Investigaciones Económicas y Sociales (IIES)</t>
  </si>
  <si>
    <t>2 de septiembre del 2009</t>
  </si>
  <si>
    <t>FICHA 2009-02-ES</t>
  </si>
  <si>
    <t>2009-03-ES</t>
  </si>
  <si>
    <t>Universidad de Girona (UdG)</t>
  </si>
  <si>
    <t>Establecer un marco de colaboración para aspectos de formación, investigaciín y transferencia de conocimiento</t>
  </si>
  <si>
    <t>VRA, Dirección de Cultura</t>
  </si>
  <si>
    <t>19 de octubre del 2009</t>
  </si>
  <si>
    <t>UNAH: Mario Mejía, Dirección de Cultura</t>
  </si>
  <si>
    <t>FICHA 2009-03-ES</t>
  </si>
  <si>
    <t>2009-04-ES</t>
  </si>
  <si>
    <t>Universidad Politécnica de Valencia (Universitat Politècnica de València) (UPV)</t>
  </si>
  <si>
    <t>Cooperación en intercambio de experiencias y personal en los campos de la docencia, la investigación y la cultura.</t>
  </si>
  <si>
    <t>21 de diciembre del 2009</t>
  </si>
  <si>
    <t>2009-05-FR</t>
  </si>
  <si>
    <t>Embajada de Francia</t>
  </si>
  <si>
    <t>Francia</t>
  </si>
  <si>
    <t>Entidad Estatal Extranjera</t>
  </si>
  <si>
    <t>Fomentar y desarrollar el intercambio cultural y lingusitico, especialmente en el campo de la educación superior.</t>
  </si>
  <si>
    <t>26 de febrero del 2009</t>
  </si>
  <si>
    <t>Hasta suscribir Convenio Marco</t>
  </si>
  <si>
    <t>2009-06-PA</t>
  </si>
  <si>
    <t>Universidad Marítima Internacional de Panamá (UMIP)</t>
  </si>
  <si>
    <t>Intercambio de experiencias, documentos, información, especialistas, desarrollo de investigaciones, desarrollo conjunto de proyectos.</t>
  </si>
  <si>
    <t>Facultad de Ciencias Jurídicas, Maestría en Derecho Marítimo</t>
  </si>
  <si>
    <t>No se ha suscrito convenio marco y no se prorrogó la vigencia de la carta de la manera estipulada.</t>
  </si>
  <si>
    <t>UNAH: Gloria Caridad Alvarado</t>
  </si>
  <si>
    <t>2009-07-INT</t>
  </si>
  <si>
    <t>Consejo Superior Universitario Centroamericano (CSUCA)</t>
  </si>
  <si>
    <t>Desarrollar capacidades de investigación para la generación y aplicación del conocimiento de la Gestión del Riesgo y Ambiente que inicda en la prevención y mitigación de desastres en el contexto del desarrollo sostenible</t>
  </si>
  <si>
    <t>7 de septiembre del 2009</t>
  </si>
  <si>
    <t>Se enmendó para extender vigencia en 2011, enmienda en archivo digital</t>
  </si>
  <si>
    <t>UNAH: Dra. Maria Cristina Pineda</t>
  </si>
  <si>
    <t>2009-08-FR</t>
  </si>
  <si>
    <t>Instituto de Altos Estudios de America Latina (IHEAL) de la Universidad Sorbona Nueva - Paris 3</t>
  </si>
  <si>
    <t>Fomentar y desarrollar un programa de intercambio academico científico a nivel de estudios superiores en Ame´rica Latina</t>
  </si>
  <si>
    <t xml:space="preserve">Doctorado en Ciencias Sociales con orientación en Gestión al Desarrollo
</t>
  </si>
  <si>
    <t>20 de abril del 2009</t>
  </si>
  <si>
    <t>No se suscribió convenio marco previsto</t>
  </si>
  <si>
    <t>UNAH: Dra. Margarita Oseguera de Ochoa</t>
  </si>
  <si>
    <t>2009-09-INT</t>
  </si>
  <si>
    <t>Organización de Estados Iberoamericanos para la Educación, la Ciencia y la Cultura (OEI)</t>
  </si>
  <si>
    <t>Cooperación en asistencia técnica y administrativa en actividades de interés mutuo.</t>
  </si>
  <si>
    <t>16 de marzo del 2009</t>
  </si>
  <si>
    <t>2009-10-INT</t>
  </si>
  <si>
    <t>Banco Interamericano de Desarrollo (BID)</t>
  </si>
  <si>
    <t>Cooperación técnica no reembolsable por USD 100,000.00, para implementar los mecanismos conducentes a establecer un sistema de aseguramiento de la calidad de la educación superior pública y privada en Honduras</t>
  </si>
  <si>
    <t>16 de abril de 2009</t>
  </si>
  <si>
    <t>14 meses</t>
  </si>
  <si>
    <t>No se incluye Plan de Operaciones a que se hace alusión en documento. Agregado de archivo de Secretaría General.</t>
  </si>
  <si>
    <t>2009-11-INT</t>
  </si>
  <si>
    <t>Realización de Maestría en Metodologías de la Investigación Científica Económica y Social</t>
  </si>
  <si>
    <t>Julio de 2009</t>
  </si>
  <si>
    <t>Hasta conclusión del proyecto</t>
  </si>
  <si>
    <t>PNUD: Rebeca Arias, Glenda Gallardo</t>
  </si>
  <si>
    <t>2010-01-ES</t>
  </si>
  <si>
    <t>Instituto Universitario de Postgrado (IUP): Universidad Carlos III de Madrid (UC3M), Universidad Autónoma de Barcelona (UAB) y Universidad Alicante (UA)</t>
  </si>
  <si>
    <t>Cooperación en docencia, investigación y las actividades culturales.</t>
  </si>
  <si>
    <t>5 de marzo del 2010</t>
  </si>
  <si>
    <t>2010-02-ES</t>
  </si>
  <si>
    <t>Participación de la UNAH en la investigación sobre Manufactura de alto rendimiento en el marco del proyecto internacional High Performance Manufacturing</t>
  </si>
  <si>
    <t>9 de agosto del 2010</t>
  </si>
  <si>
    <t>Dr. Cesar Ortega</t>
  </si>
  <si>
    <t>2010-03-NI</t>
  </si>
  <si>
    <t>Universidad Nacional de Ingeniería (UNI)</t>
  </si>
  <si>
    <t>Nicaragua</t>
  </si>
  <si>
    <t>Cooperación en enseñanza, investigación científica y la cultura.</t>
  </si>
  <si>
    <t>2010-04-ES</t>
  </si>
  <si>
    <t>Fundación para el Desarrollo de los Pueblos de Andalucía (FUDEPA)</t>
  </si>
  <si>
    <t>Ampliar fondos de la Biblioteca Digital especializada en migraciones e interculturalidad y permitir acceso a los investigadores de la UNAH a la bibliografía</t>
  </si>
  <si>
    <t>DEGT</t>
  </si>
  <si>
    <t>3 de marzo del 2010</t>
  </si>
  <si>
    <t>Ing. Patricia Hernandez</t>
  </si>
  <si>
    <t>2010-05-INT</t>
  </si>
  <si>
    <t>Instituto Interamericano de Derechos Humanos (IIDH)</t>
  </si>
  <si>
    <t>Contribuir de manera conjunta al estudio del problema de la exclusión y la pobreza desde la estrategia de promoción activa de los derechos humanos.</t>
  </si>
  <si>
    <t>30 de junio del 2010</t>
  </si>
  <si>
    <t>60 días</t>
  </si>
  <si>
    <t>2010-06-ES</t>
  </si>
  <si>
    <t>Universia Holding, S.L.</t>
  </si>
  <si>
    <t>Colaboración para la apertura del portal web de Universia</t>
  </si>
  <si>
    <t xml:space="preserve">DEGT  </t>
  </si>
  <si>
    <t>8 de abril del 2010</t>
  </si>
  <si>
    <t>2010-07-INT</t>
  </si>
  <si>
    <t>Programa Conjunto Creatividad e Identidad para el Desarrollo Local,  Programa de las Naciones Unidas para el Desarrollo (PNUD)</t>
  </si>
  <si>
    <t>Búsqueda de mecanismos viables para facilitar el desarrollo conjunto de actividades de colaboración mutua</t>
  </si>
  <si>
    <t>Facultad de Humanidades y Artes, VRA</t>
  </si>
  <si>
    <t>10 de noviembre del 2010</t>
  </si>
  <si>
    <t>2010-08-SE</t>
  </si>
  <si>
    <t>Swedish International Development Agency (Agencia Sueca de Desarrollo Internacional) (SIDA, ASDI)</t>
  </si>
  <si>
    <t>Cooperación bilateral para la implementación de "Qualitative study on the implementation of the Western Regional Financial Support Program", incluyendo donación de SEK 515,000.00</t>
  </si>
  <si>
    <t>8 de marzo de 2010</t>
  </si>
  <si>
    <t>Hasta 31 de marzo de 2011</t>
  </si>
  <si>
    <t>ASDI: Ricardo Mairena, ricardo.mairena@sida.se UNAH: Rectoría</t>
  </si>
  <si>
    <t>2010-09-SE</t>
  </si>
  <si>
    <t>Implementación de seminario "International Seminar: Democracy and Governance: Evaluation and Perspectives"</t>
  </si>
  <si>
    <t>ASDI: Pär Sköld, par.skold@sida.se UNAH: Rectoría</t>
  </si>
  <si>
    <t>2010-10-INT</t>
  </si>
  <si>
    <t>Organización de las Naciones Unidas para la Educación, la Ciencia y la Cultura (UNESCO)</t>
  </si>
  <si>
    <t>Implementación de proyecto "Formación de Formadores y Gestores para la Construcción de un Diplomado en Gestión Cultural en Honduras"</t>
  </si>
  <si>
    <t>2 de julio de 2010</t>
  </si>
  <si>
    <t>UNESCO: Montserrat Martel, (506) 2258-7458, m.martell@unesco-cr.org UNAH: Rectoría</t>
  </si>
  <si>
    <t>2011-01-BR</t>
  </si>
  <si>
    <t>Universidad Federal de Rondonia (UNIR)</t>
  </si>
  <si>
    <t>Brasil</t>
  </si>
  <si>
    <t>Cooperación académica, docencia, e investigación científica y cultural.</t>
  </si>
  <si>
    <t>9 de agosto del 2011</t>
  </si>
  <si>
    <t>2011-02-ES</t>
  </si>
  <si>
    <t>Universidad de Cantabria (UC)</t>
  </si>
  <si>
    <t>Participación en el proyecto financiado AECID y coordinado por UC, "Energía Distribuida FotAL, Fotovoltaica América Latina"</t>
  </si>
  <si>
    <t>Facultad de Ciencias</t>
  </si>
  <si>
    <t>26 de mayo del 2011</t>
  </si>
  <si>
    <t>Ing. Marco Flores</t>
  </si>
  <si>
    <t>2011-03-MX</t>
  </si>
  <si>
    <t>Universidad Autónoma del Estado de México (UAEMEX)</t>
  </si>
  <si>
    <t>Actividades académicas, investigación, movilidad, prácticas profesionales, y otras actividades de interés común.</t>
  </si>
  <si>
    <t>27 de mayo del 2011</t>
  </si>
  <si>
    <t>Documento firmado por Decana de la Facultad de Ciencias Espaciales (FACES) de la UNAH, Maria Cristina Pineda de Carías. Contraparte usa de manera conjunta abreviaciones UAEM y UAEMEX. Aquí se usa UAEMEX para distinguirla de la U. Autónoma de Morelos, que usa UAEM.</t>
  </si>
  <si>
    <t>2011-04-VAR</t>
  </si>
  <si>
    <t>Universidad de Massachusetts Amhurst (UMass Amherst), Universidad de Massachusetts Lowell (UMass Lowell), Universidad Nacional de Costa Rica (UNA), Universidad de las Regiones Autónomas de la Costa Caribe Nicaragüense (URACCAN)</t>
  </si>
  <si>
    <t>Facilitar los intercambios y las iniciativas de cooperación entre las cinco instituciones en las areas de investigación, docencia, educación internacional y el desarrollo sostenible</t>
  </si>
  <si>
    <t>15 de noviembre del 2011</t>
  </si>
  <si>
    <t>Fecha de firma corresponde a firma de rectora UNAH. Faltan otras firmas. Últimas páginas de archivo digital traspapeladas. Mezclada versión en inglés con últimas páginas de versión en español. No se cuenta con versión en español completa.</t>
  </si>
  <si>
    <t>UNAH: Ing. Mónico Oyuela</t>
  </si>
  <si>
    <t>2011-05-VAR</t>
  </si>
  <si>
    <t>Asociación de Municipios de Honduras (AMHON) a través del Proyecto Fortalecimiento de la Gobernabilidad Democrática Local en Honduras de la Agencia Española de Cooperación Internacional para el Desarrollo (AECID)</t>
  </si>
  <si>
    <t xml:space="preserve">Varios/Otros </t>
  </si>
  <si>
    <t>Brindar asistencia técnica docente para la implementación del Diplomado de Mediación y Conciliación de Conflictos en nueve municipios</t>
  </si>
  <si>
    <t>Instituto Universitario en Democracia Paz y Seguridad (IUDPAS)</t>
  </si>
  <si>
    <t>14 de abril del 2011</t>
  </si>
  <si>
    <t>3 meses</t>
  </si>
  <si>
    <t>2011-06-ES</t>
  </si>
  <si>
    <t>Fundación Carolina</t>
  </si>
  <si>
    <t>Regular la concesión de becas conjuntas destinadas a la formación de docentes, personal administrativo, en programas que den un grado académico en universidades españolas asi como estancias cortas</t>
  </si>
  <si>
    <t>15 de junio del 2011</t>
  </si>
  <si>
    <t>2011-07-US</t>
  </si>
  <si>
    <t>Fundación Professionals to the World (FPW)</t>
  </si>
  <si>
    <t>Cooperación en fomentar principios y valores que construyen al buen ser humano ( Centro de Formación Integral CFI)</t>
  </si>
  <si>
    <t>CURC</t>
  </si>
  <si>
    <t>4 de mayo del 2011</t>
  </si>
  <si>
    <t>Ing. Oscar Meza Palma</t>
  </si>
  <si>
    <t>2011-08-ES</t>
  </si>
  <si>
    <t>Fundación Universitaria Iberoamericana (FUNIBER)</t>
  </si>
  <si>
    <t>Cooperación en formación académica a distancia</t>
  </si>
  <si>
    <t>Instituto de Profesionalización y Superación Docente</t>
  </si>
  <si>
    <t>6 de julio del 2011</t>
  </si>
  <si>
    <t>2011-09-INT</t>
  </si>
  <si>
    <t>Instituto de Nutrición de Centro América y Panamá (INCAP)</t>
  </si>
  <si>
    <t>Desarrollar de manera conjunta proyectos de formación de recursos humanos, investigación y extensión social en áreas relacionadas a la alimentación y nutrición.</t>
  </si>
  <si>
    <t>Facultad de Ciencias Médicas, Maestría en Salud Pública</t>
  </si>
  <si>
    <t>17 de enero del 2011</t>
  </si>
  <si>
    <t>Dra. Astarte Alegría</t>
  </si>
  <si>
    <t>2011-10-INT</t>
  </si>
  <si>
    <t>ONU-Mujeres</t>
  </si>
  <si>
    <t>Desarrollar acciones para la incorporación e institucionalización de la perspectiva de género y no discriminación, actividades de investigación, formación y promoción enfocadas a la eliminación de cualquier tipo de discriminación.</t>
  </si>
  <si>
    <t>31 de octubre del 2011</t>
  </si>
  <si>
    <t>Legalmente vigente por renovación automática, pero nunca se realizó ninguna actividad.</t>
  </si>
  <si>
    <t>2011-11-INT</t>
  </si>
  <si>
    <t>Coordinación de acciones para contrubuir a mejorar la situación de la salud de la población hondureña y el fortalecimiento de las capacidades del sistema de salud de Honduras</t>
  </si>
  <si>
    <t>VRA, SEDI, SEAPI</t>
  </si>
  <si>
    <t>29 de noviembre del 2011</t>
  </si>
  <si>
    <t>2011-12-VAR</t>
  </si>
  <si>
    <t>Red de Cooperación e Internacionalización de la Educación Superior en América Central (INCA)</t>
  </si>
  <si>
    <t>Conformación y fortalecimiento de una RED buscando la capacitación conjunta, fortalecimiento de actividades de gestión de la internacionalización de las IES.</t>
  </si>
  <si>
    <t>16 de julio del 2011</t>
  </si>
  <si>
    <t>Indefinida (mientras permanezcan al menos 5 miembros)</t>
  </si>
  <si>
    <t>2011-13-CH</t>
  </si>
  <si>
    <t>Contrato</t>
  </si>
  <si>
    <t>Ejecución del proyecto "Fortalecimiento del IHCIT de la UNAH, Honduras".</t>
  </si>
  <si>
    <t>Instituto Hondureño de Ciencias de la Tierra (IHCIT)</t>
  </si>
  <si>
    <t>28 de febrero del 2011</t>
  </si>
  <si>
    <t>2011-14-US</t>
  </si>
  <si>
    <t>Universidad de Florida (University of Florida) (UF)</t>
  </si>
  <si>
    <t>Cooperación en área de antropología.</t>
  </si>
  <si>
    <t>VRA</t>
  </si>
  <si>
    <t>4 de octubre del 2011</t>
  </si>
  <si>
    <t>Hasta 30 de junio de 2016</t>
  </si>
  <si>
    <t>2011-15-VAR</t>
  </si>
  <si>
    <t>Red de Propiedad Intelectual e Industrial en America Latina (PILA)</t>
  </si>
  <si>
    <t>Crear una plataforma de aprendizaje para intercambiar prácticas de gestión de propiedad intelectual. Certificación Microsoft Office Especialist para Formadores IT, Administrativos, Estudiantes.</t>
  </si>
  <si>
    <t>1 de noviembre del 2011</t>
  </si>
  <si>
    <t>No se cuenta con convenio firmado. Documento vinculado es el encontrado en página wed de Red Pila: http://www.pila-network.org/presentaci%C3%B3n</t>
  </si>
  <si>
    <t>FICHA 2011-15-VAR</t>
  </si>
  <si>
    <t>2011-16-MX</t>
  </si>
  <si>
    <t>Universidad Autónoma Metropolitana (UAM)</t>
  </si>
  <si>
    <t>Colaboración en aspectos e formación, investigación y transferencia de conocimiento, movilidad, proyectos de desarrollo local</t>
  </si>
  <si>
    <t>2 de junio del 2011</t>
  </si>
  <si>
    <t>2011-17-US</t>
  </si>
  <si>
    <t>Alianza Joven Regional USAID-SICA (AJR)</t>
  </si>
  <si>
    <t>Implementación de proyecto "Consolidación y Fortalecimiento del Observatorio Local de la Violencia de La Ceiba y Desarrollo del Observatorio Local de la Violencia en Choloma"</t>
  </si>
  <si>
    <t>11 de mayo de 2011</t>
  </si>
  <si>
    <t>5 meses</t>
  </si>
  <si>
    <t>UNAH: IUDPAS</t>
  </si>
  <si>
    <t>2011-18-MX</t>
  </si>
  <si>
    <t>Impartir el curso "Asesor en Linea"</t>
  </si>
  <si>
    <t>DIE</t>
  </si>
  <si>
    <t>20 de marzo de 2011</t>
  </si>
  <si>
    <t>2 meses</t>
  </si>
  <si>
    <t>Dra. Martha Quintanilla</t>
  </si>
  <si>
    <t>FICHA 2011-18-MX</t>
  </si>
  <si>
    <t>2011-19-INT</t>
  </si>
  <si>
    <t>Virtual Educa</t>
  </si>
  <si>
    <t>4 de marzo de 2011</t>
  </si>
  <si>
    <t>UNAH: DEGT, DICYP, Sistema de Educación a Distancia VE: Secretaría General VE Tel.: (34) 91 883 7189, jorge@virtualeduca.org</t>
  </si>
  <si>
    <t>2012-01-DE</t>
  </si>
  <si>
    <t>Hospital de Augsburgo (Klinikum Augsburg)</t>
  </si>
  <si>
    <t>Cooperación en las áreas de la salud. Suscripción de convenios marco y específicos a futuro.</t>
  </si>
  <si>
    <t>DVUS</t>
  </si>
  <si>
    <t>21 de diciembre del 2012</t>
  </si>
  <si>
    <t>No se ha concretado convenio marco mencionado en carta.</t>
  </si>
  <si>
    <t>2012-02-CA</t>
  </si>
  <si>
    <t>Cooperación académica, científica, social y administrativa</t>
  </si>
  <si>
    <t xml:space="preserve">Facultad de Ciencias, Escuela de Microbiología </t>
  </si>
  <si>
    <t>14 de diciembre del 2012</t>
  </si>
  <si>
    <t>FICHA 2012-02-CA</t>
  </si>
  <si>
    <t>2012-03-CO</t>
  </si>
  <si>
    <t>Universidad de La Salle, Bogotá</t>
  </si>
  <si>
    <t>Cooperación en docencia, investigación, intercambio y cualquier otra actividad mutuamemente acordada</t>
  </si>
  <si>
    <t>5 de septiembre del 2012</t>
  </si>
  <si>
    <t>2012-04-KR</t>
  </si>
  <si>
    <t>Universidad de Salud Daegu (Daegu Health College)</t>
  </si>
  <si>
    <t>Corea del Sur</t>
  </si>
  <si>
    <t>Fomentar relaciones académicas en areas de interés mutuo.</t>
  </si>
  <si>
    <t>UNAH-VS, Departamento de Odontología</t>
  </si>
  <si>
    <t>Octubre del 2012</t>
  </si>
  <si>
    <t>No se consigna fecha exacta.</t>
  </si>
  <si>
    <t>Dr. Edwin Cruz</t>
  </si>
  <si>
    <t>2012-05-KR</t>
  </si>
  <si>
    <t>Universidad de Yonsei</t>
  </si>
  <si>
    <t>Promover las alianzas en los campos de educación e investigación.</t>
  </si>
  <si>
    <t>16 de noviembre del 2012</t>
  </si>
  <si>
    <t>2012-06-INT</t>
  </si>
  <si>
    <t>Centro Agronómico Tropical de Investigación y Enseñanza (CATIE)</t>
  </si>
  <si>
    <t>Establecer nexos formales de colaboracón conjunta para potenciar las acciones de ambas instituciones y sus impactos en Honduras.</t>
  </si>
  <si>
    <t>15 de noviembre del 2012</t>
  </si>
  <si>
    <t>Está firmado por ambas partes, pero tiene nota que dice que contraparte no firmó. Corroborar.</t>
  </si>
  <si>
    <t>CATIE: catiehonduras@catie.ac.cr, (504) 2235-6609/223556610 UNAH: Olga Joya, olgajoya@yahoo.com, 2232-4907, 9961-2364</t>
  </si>
  <si>
    <t>FICHA 2012-06-INT</t>
  </si>
  <si>
    <t>2012-07-CU</t>
  </si>
  <si>
    <t>Universidad Agraria de La Habana (UNAH)</t>
  </si>
  <si>
    <t>Cooperación Académica, Científica y Vinculación Universidad-Sociedad</t>
  </si>
  <si>
    <t>20 de diciembre del 2012</t>
  </si>
  <si>
    <t>Fecha no coincide con versión escaneada  29 de noviembre de 2012.</t>
  </si>
  <si>
    <t>UNAH: Nabil Kawas, Tel. 2235-3030, nkawask@gmail.com 
IHCIT-UNAH: Oscar Elvir, ferman_oscar.elvir@unah.edu.hn
Lidia Torres, lidia.torres@unah.edu.hn
UNAH-Cuba: Dámaso Ramón Ponvert Delisles Batista, damaso.ponvert@gmail.com</t>
  </si>
  <si>
    <t>FICHA 2012-07-CU</t>
  </si>
  <si>
    <t>2012-08-ES</t>
  </si>
  <si>
    <t>Instituto Superior de Educación, Administración y Desarrollo (ISEAD)</t>
  </si>
  <si>
    <t>Actividades de docencia, investigación y movilidad orientado al area de Empresas y la Administración Pública</t>
  </si>
  <si>
    <t>2 de febrero del 2012</t>
  </si>
  <si>
    <t>2012-09-ES</t>
  </si>
  <si>
    <t>Cooperación para fomentar la investigación y la formación.</t>
  </si>
  <si>
    <t>18 de julio del 2012</t>
  </si>
  <si>
    <t>Reemplazó Convenio Marco 2006-02-ES.</t>
  </si>
  <si>
    <t>FICHA 2012-09-ES</t>
  </si>
  <si>
    <t>2012-10-GQ</t>
  </si>
  <si>
    <t>Universidad Nacional de Guinea Ecuatorial (UNGE)</t>
  </si>
  <si>
    <t>Guinea Ecuatorial</t>
  </si>
  <si>
    <t>Coorperación en la áreas de formación, investigación, cultura, movilidad, difusión de actividades conjuntas</t>
  </si>
  <si>
    <t>12 de marzo del 2012</t>
  </si>
  <si>
    <t>2012-11-IT</t>
  </si>
  <si>
    <t>Universidad de Calabria (Università della Calabria) (UNICAL)</t>
  </si>
  <si>
    <t>Italia</t>
  </si>
  <si>
    <t>Cooperación en humanidades y ciencias sociales</t>
  </si>
  <si>
    <t>Facultad de Humanidades y Artes</t>
  </si>
  <si>
    <t>1 de septiembre del 2012</t>
  </si>
  <si>
    <t>UNAH: Denia Matamoros, Oneyda Mendoza, Facultad de Humanidades y Artes</t>
  </si>
  <si>
    <t>FICHA 2012-11-IT</t>
  </si>
  <si>
    <t>2012-12-MX</t>
  </si>
  <si>
    <t>9 de abril del 2012</t>
  </si>
  <si>
    <t>7 meses</t>
  </si>
  <si>
    <t>2012-13-NI</t>
  </si>
  <si>
    <t>Universidad Nacional Agraria (UNA)</t>
  </si>
  <si>
    <t>Cooperación en desarrollo sostenible agrario y agropecuario.</t>
  </si>
  <si>
    <t xml:space="preserve">CURLA, Ingeniería Agronómica
</t>
  </si>
  <si>
    <t>10 de diciembre del 2012</t>
  </si>
  <si>
    <t>Ing. Martha Zelaya</t>
  </si>
  <si>
    <t>2012-14-NI</t>
  </si>
  <si>
    <t>Universidad Bluefields Indian &amp; Caribbean (BICU)</t>
  </si>
  <si>
    <t>Cooperación en Humanidades, Artes y Ciencias de la salud</t>
  </si>
  <si>
    <t>2012-15-DO</t>
  </si>
  <si>
    <t>Universidad Autónoma de Santo Domingo (UASD)</t>
  </si>
  <si>
    <t>República Dominicana</t>
  </si>
  <si>
    <t>Favorecer los intercambios académicos y técnicos para fortalecer la docencia, la investigación y las transferencias tecnológicas dentro de los campos de interés para una o ambas instituciones.</t>
  </si>
  <si>
    <t>19 de septiembre del 2012</t>
  </si>
  <si>
    <t>2012-17-MX</t>
  </si>
  <si>
    <t>Comisión de Derechos Humanos del Distrito Federal de México (CDHDF)</t>
  </si>
  <si>
    <t>Entidad estatal extranjera</t>
  </si>
  <si>
    <t>Realización de 2 conferencias virtuales el 25 de octubre y el 15 de noviembre del 2012 con el objeto de promover cultura de derechos humanos.</t>
  </si>
  <si>
    <t xml:space="preserve">Comisionado Universitario de Derechos Humanos </t>
  </si>
  <si>
    <t>11 de septiembre del 2012</t>
  </si>
  <si>
    <t>Hasta 15 de noviembre del 2012</t>
  </si>
  <si>
    <t>2012-18-MX</t>
  </si>
  <si>
    <t>Promover, organizar y desarrollar la cultura en materia de derechos humanos, asi como otras actividades que fortalezcan a ambas instituciones</t>
  </si>
  <si>
    <t>FICHA 2012-18-MX</t>
  </si>
  <si>
    <t>2012-19-CO</t>
  </si>
  <si>
    <t>Fundación Universitaria Panamericana (UNIPANAMERICANA)</t>
  </si>
  <si>
    <t>Cooperación técnica y académica, proyectos de investigación, intercambios y asistencia en campos y áreas de interés</t>
  </si>
  <si>
    <t>13 de diciembre del 2012</t>
  </si>
  <si>
    <t>UNIPANAMERICANA: gpbernalo@unipanamericana.edu.co Tel: 57.1.3380666 UNAH: VRI, Sofía Alvarado, Dirección de Movilidad Internacional</t>
  </si>
  <si>
    <t>2012-20-VAR</t>
  </si>
  <si>
    <t>LAMENITEC (ERASMUS MUNDUS)</t>
  </si>
  <si>
    <t>Consorcio</t>
  </si>
  <si>
    <t>Garantizar una buena gestión del programa de movilidad. Proyecto de la Red Latinoamericana de Tecnologías de Ingeniería y de Información- LAMENITEC.</t>
  </si>
  <si>
    <t>15 de junio del 2012</t>
  </si>
  <si>
    <t>2012-21-VAR</t>
  </si>
  <si>
    <t>Programa Red para la Enseñanza de la Astronomía en la Escuela de la Unión Astrónomica Internacional (NASE/IAU) y la Secretaría Educación de Honduras</t>
  </si>
  <si>
    <t>Realizar talleres de capacitación para la enseñanza de la astronomía dirigida a docentes de educación básica</t>
  </si>
  <si>
    <t>Facultad de Ciencias Espaciales, Departamento de Astronomía y Astrofísica</t>
  </si>
  <si>
    <t>9 de octubre del 2012</t>
  </si>
  <si>
    <t>Compromiso reiterado por medio de convenio 2015-06-VAR.</t>
  </si>
  <si>
    <t>2012-22-INT</t>
  </si>
  <si>
    <t>Fondo de Población de las Naciones Unidas (UNFPA)</t>
  </si>
  <si>
    <t>Maestría en Demografía y Desarrollo Social (originalmente impulsado por Postgrado Latinoamericano en Trabajo Social PLATS)</t>
  </si>
  <si>
    <t>9 de febrero del 2012</t>
  </si>
  <si>
    <t>No se tenía registro de este convenio. Estaba en posesión de PLATS.</t>
  </si>
  <si>
    <t>Actualmente: Maestría en Demografía y Desarrollo Social. Originalmente impulsado por PLATS, tras cuyo cierre fue sustituido por la Maestría como responsable del convenio.</t>
  </si>
  <si>
    <t>FICHA 2012-22-INT</t>
  </si>
  <si>
    <t>2012-23-FR</t>
  </si>
  <si>
    <t>Le Monde diplomatique</t>
  </si>
  <si>
    <t>Permitir la publicación de Le Monde diplomatique en español por parte de la UNAH</t>
  </si>
  <si>
    <t>19 de junio de 2012</t>
  </si>
  <si>
    <t>Documento en francés, no cuenta con versión en español. Agregado de archivo de Secretaría General.</t>
  </si>
  <si>
    <t>2013-01-BR</t>
  </si>
  <si>
    <t>Universidad Federal Fluminense (UFF)</t>
  </si>
  <si>
    <t>Cooperación en identificar y trabajar en areas de interes comun, en especial la docencia, la investigación, la formación y el desarrollo tecnológico o adminsitrativo</t>
  </si>
  <si>
    <t>UNAH-VS, Facultad de Ingeniería</t>
  </si>
  <si>
    <t>19 de noviembre del 2013</t>
  </si>
  <si>
    <t>2013-02-BR</t>
  </si>
  <si>
    <t>Universidad Federal de Sao Paulo (UNIFESP)</t>
  </si>
  <si>
    <t xml:space="preserve">Facultad de Ciencias Médicas </t>
  </si>
  <si>
    <t>29 de octubre del 2013</t>
  </si>
  <si>
    <t>FICHA 2013-02-BR</t>
  </si>
  <si>
    <t>2013-03-CR</t>
  </si>
  <si>
    <t>Universidad Nacional (UNA) de Costa Rica</t>
  </si>
  <si>
    <t>Ejecución del Programa SALTRA</t>
  </si>
  <si>
    <t>Postgrado Latinoamericano en Trabajo Social (PLATS)</t>
  </si>
  <si>
    <t>10 de junio del 2013</t>
  </si>
  <si>
    <t>2013-04-SV</t>
  </si>
  <si>
    <t>Universidad Autónoma de Santa Ana (UNASA)</t>
  </si>
  <si>
    <t>El Salvador</t>
  </si>
  <si>
    <t>Fomentar el intercambio de académicos en los campos de la docencia, investigación y proyección social, con el fin de compartir conocimiento y experiencia, así como transferir tecnología.</t>
  </si>
  <si>
    <t>Facultad de Ciencias Médicas, Terapia Funcional</t>
  </si>
  <si>
    <t>9 de junio del 2013</t>
  </si>
  <si>
    <t>UNAH: Dr. Nery Madrid</t>
  </si>
  <si>
    <t>FICHA 2013-04-SV</t>
  </si>
  <si>
    <t>2013-05-ES</t>
  </si>
  <si>
    <t>Universidad de Santiago de Compostela (USC)</t>
  </si>
  <si>
    <t>Promover y desarrollar la difusión de la cultura, en especial la enseñanza superior de grado y posgrado y la investigación científica y tecnológica</t>
  </si>
  <si>
    <t>UTV</t>
  </si>
  <si>
    <t>8 de febrero del 2013</t>
  </si>
  <si>
    <t>Renovado, documento firmado previamente  en 2004</t>
  </si>
  <si>
    <t>Lic. Juan Carlos Soto</t>
  </si>
  <si>
    <t>2013-06-ES</t>
  </si>
  <si>
    <t>Intercambio de personal docente e investigador</t>
  </si>
  <si>
    <t>2013-07-ES</t>
  </si>
  <si>
    <t>Intercambio de estudiantes</t>
  </si>
  <si>
    <t>2013-08-ES</t>
  </si>
  <si>
    <t>Este convenio busca las bases de coordinación y colaboración para el desarrollo de las actividades universitarias en ciencia, investigación y cultura, para potenciar la generación, transferencia y aplicación del conocimiento.</t>
  </si>
  <si>
    <t>CURLA, Maestría de Manejo integrado del recurso marino costero</t>
  </si>
  <si>
    <t>1 de marzo del 2013</t>
  </si>
  <si>
    <t>Reemplazado por nuevo convenio marco, 2021-08-ES.</t>
  </si>
  <si>
    <t>2013-09-ES</t>
  </si>
  <si>
    <t>Universidad Complutense de Madrid (UCM)</t>
  </si>
  <si>
    <t>Ambas Universidades desean fortalecer la academia, la investigación, vinculación Universidad-Sociedad, docencia y administración en el desarrollo de las actividades universitarias.</t>
  </si>
  <si>
    <t>Facultad de Ciencias Sociales</t>
  </si>
  <si>
    <t>22 de abril del 2013</t>
  </si>
  <si>
    <t>FICHA 2013-09-ES</t>
  </si>
  <si>
    <t>2013-10-ES</t>
  </si>
  <si>
    <t>Universidad de Murcia (UM)</t>
  </si>
  <si>
    <t>Intercambio de investigadores, docentes y estudiantes, realizacion de ediciones conjuntas</t>
  </si>
  <si>
    <t>2013-11-ES</t>
  </si>
  <si>
    <t>Universidad de Mondragón</t>
  </si>
  <si>
    <t>Trabajo voluntario en la UNAH por parte de Mireia Castells Barrenetxea-Arando y Miren Olañeta Etxebeste de España, dentro del marco del programa de becas GLOBAL TRAINING.</t>
  </si>
  <si>
    <t>Facultad de Ciencias Económicas, Administrativas y Contables, Carrera de Administración de Empresas</t>
  </si>
  <si>
    <t>4 de noviembre del 2013</t>
  </si>
  <si>
    <t>6 meses</t>
  </si>
  <si>
    <t>UNAH: Lic. Rafael Nuñez</t>
  </si>
  <si>
    <t>2013-12-US</t>
  </si>
  <si>
    <t>Universidad Estatal de Nueva York en Buffalo (State University of New York at Buffalo, SUNY Buffalo)</t>
  </si>
  <si>
    <t>Establecer las bases para suscribir un Convenio Marco para el desarrollo de actividades tendientes a fortalecer los valores éticos y científicos de las instituciones.</t>
  </si>
  <si>
    <t>FICHA 2013-12-US</t>
  </si>
  <si>
    <t>2013-13-US</t>
  </si>
  <si>
    <t>Instituto Tecnológico de Illinois (Illinois Institute of Technology, IIT)</t>
  </si>
  <si>
    <t>Ejecución del proyecto de Producción Más Limpia de Ingeniería en UNAH VS</t>
  </si>
  <si>
    <t xml:space="preserve">UNAH VS, Facultad de Ingeniería
</t>
  </si>
  <si>
    <t>24 de julio del 2013</t>
  </si>
  <si>
    <t>Traducción al español del acuerdo a partir de la página 88.</t>
  </si>
  <si>
    <t>Sonia Panchamé, 3395-7024</t>
  </si>
  <si>
    <t>2013-14-IT</t>
  </si>
  <si>
    <t>Centro Interuniversitario de Investigación para el Desarrollo Sostenible de Roma (Centro Interuniversitario di Ricerca per lo Sviluppo Sostenibile, CIRPS)</t>
  </si>
  <si>
    <t>Cooperación en investigación, educación, intercambio cultural, energía renovable, cambio climático.</t>
  </si>
  <si>
    <t>17 de enero del 2013</t>
  </si>
  <si>
    <t>2013-15-IT</t>
  </si>
  <si>
    <t>Escuela de Alta formación de Conservación y Restauración (CORE)</t>
  </si>
  <si>
    <t>Cooperación en materia de conservación y restauración de bienes culturales. Becas para maestría en Italia sobre la materia. Cursos de formación en la materia. Asesoría especializada en conservación y restauración de monumentos.</t>
  </si>
  <si>
    <t xml:space="preserve">2 años </t>
  </si>
  <si>
    <t>Documento no consigna fecha de firma más allá del año.</t>
  </si>
  <si>
    <t>2013-16-IT</t>
  </si>
  <si>
    <t>Universidad de Pisa (Università di Pisa) (UNIPI)</t>
  </si>
  <si>
    <t>Establecer las vias generales para concretar la cooperación en los campos del quehacer académico, científico y de vinculación.</t>
  </si>
  <si>
    <t>9 de diciembre del 2013</t>
  </si>
  <si>
    <t>2013-17-MX</t>
  </si>
  <si>
    <t>Colaboración para impartir el curso "Asesor en Linea"</t>
  </si>
  <si>
    <t>30 de septiembre del 2013</t>
  </si>
  <si>
    <t>8 meses</t>
  </si>
  <si>
    <t>FICHA-2013-17-MX</t>
  </si>
  <si>
    <t>2013-18-MX</t>
  </si>
  <si>
    <t>Centro de Investigaciones Biológicas del Noroeste, S.C. (CIBNOR)</t>
  </si>
  <si>
    <t>Para realizar investigación básica orientada al manejo de los recursos naturales.</t>
  </si>
  <si>
    <t xml:space="preserve">Facultad de Ciencias, Escuela de Biología </t>
  </si>
  <si>
    <t>27 de junio del 2013</t>
  </si>
  <si>
    <t>2013-19-US</t>
  </si>
  <si>
    <t>College Board de Puerto Rico y América Latina</t>
  </si>
  <si>
    <t>Aplicación de pruebas del College Board.</t>
  </si>
  <si>
    <t>Dirección del Sistema de Admisión</t>
  </si>
  <si>
    <t>2013-20-DE</t>
  </si>
  <si>
    <t>Ofrecer programas de becas para docentes, Investigadores  de la UNAH.</t>
  </si>
  <si>
    <t>Facultad de Ciencias, Escuela de Microbiología, DICYP</t>
  </si>
  <si>
    <t>28 de noviembre del 2013</t>
  </si>
  <si>
    <t>FICHA 2013-20-DE</t>
  </si>
  <si>
    <t>2013-21-MX</t>
  </si>
  <si>
    <t>Instituto Nacional de Rehabilitación de los Estados Unidos Mexicanos (INR)</t>
  </si>
  <si>
    <t>Apoyar el Posgrado de Medicina de Rehabilitación, de la carrera Técnico Universitario de Terapia Funcional, la Unidad Universitaria de Medicina Física y Rehabilitación, y el proyecto de creación de la carrera de licenciatura de trastornos dela comunicación.</t>
  </si>
  <si>
    <t xml:space="preserve">Departamento de Medicina de Rehabilitación
</t>
  </si>
  <si>
    <t>16 de diciembre del 2013</t>
  </si>
  <si>
    <t>Reemplazado por convenio marco 2017-06-MX.</t>
  </si>
  <si>
    <t>2013-22-CH</t>
  </si>
  <si>
    <t>Médicos Sin Fronteras Suiza (MSF)</t>
  </si>
  <si>
    <t>Cooperación Académica y técnica para aumentar y mejorar el acceso y la calidad de atención médica de emergencia para las poblaciones más vulnerables de Honduras en el Hospital Escuela Universitario.</t>
  </si>
  <si>
    <t>Dirección Ejecutiva del Hospital Escuela</t>
  </si>
  <si>
    <t>11 de diciembre del 2013</t>
  </si>
  <si>
    <t>2013-23-CH</t>
  </si>
  <si>
    <t>Swiss Academic Software GmBH (SAS)</t>
  </si>
  <si>
    <t>Facilitar a la UNAH el gestor bibliográfico CITAVI (herramienta electronica)</t>
  </si>
  <si>
    <t>VRA, DEGT</t>
  </si>
  <si>
    <t>9 de septiembre del 2013</t>
  </si>
  <si>
    <t>2013-24-US</t>
  </si>
  <si>
    <t>Visión Mundial</t>
  </si>
  <si>
    <t>25 de junio del 2013</t>
  </si>
  <si>
    <t>2013-25-INT</t>
  </si>
  <si>
    <t>Confederación Universitaria Centroamericana (Consejo Superior Universitario Centroamericano, CSUCA)</t>
  </si>
  <si>
    <t>Reconocimiento mutuo de estudios, diplomas, grados y títulos.</t>
  </si>
  <si>
    <t>Rectoría</t>
  </si>
  <si>
    <t>18 de octubre del 2013</t>
  </si>
  <si>
    <t>2014-01-ES</t>
  </si>
  <si>
    <t>Actividades de cooperación para el desarrollo conjunto de la Maestría en Ordenamiento y Gestión del Territorio (MOGT)</t>
  </si>
  <si>
    <t>8 de septiembre del 2014</t>
  </si>
  <si>
    <t>Al término de la Maestría</t>
  </si>
  <si>
    <t>Renovación del convenio anterior 2008-04-ES.</t>
  </si>
  <si>
    <t>FICHA 2014-01-ES</t>
  </si>
  <si>
    <t>2014-02-US</t>
  </si>
  <si>
    <t>Universidad de Alabama en Birmingham (University of Alabama at Birmingham) (UAB)</t>
  </si>
  <si>
    <t>Promoción y desarrollo de programas de investigación colaborativa, los programas de intercambio académico y cultural y otras actividades de cooperación y asistencia en áreas de beneficio e interés mutuo</t>
  </si>
  <si>
    <t>Facultad de Ciencias Médicas, Enfermeria</t>
  </si>
  <si>
    <t>22 de septiembre del 2014</t>
  </si>
  <si>
    <t>2014-03-US</t>
  </si>
  <si>
    <t>Trinity College</t>
  </si>
  <si>
    <t>Facilitar el desarrollo conjunto de la cooperación académica a través de proyectos relacionados con nuestras facultades, estudiantes y personal, para la promoción del desarrollo de la ciencia, el arte, la cultura y las humanidades.</t>
  </si>
  <si>
    <t>16 de septiembre del 2014</t>
  </si>
  <si>
    <t>Ya esta la copia escaneada. A la espera del documento original</t>
  </si>
  <si>
    <t>2014-04-MX</t>
  </si>
  <si>
    <t>Universidad Autónoma Agraria Antonio Narro (UAAAN)</t>
  </si>
  <si>
    <t>Mutuo desarrollo en los campos de docencia, investigación y promoción de la cultura</t>
  </si>
  <si>
    <t>24 de septiembre del 2014</t>
  </si>
  <si>
    <t>2014-05-VAR</t>
  </si>
  <si>
    <t>AMIDILA (ERASMUS MUNDUS)</t>
  </si>
  <si>
    <t xml:space="preserve">Garantizar una buena gestión de cooperación y regular los aspectos relacionados a la organización y la implementación del esquema de movilidad así como la gestión del proyecto Erasmus Mundus acción 2- proyecto AMIDILA. </t>
  </si>
  <si>
    <t>VRI, VRA</t>
  </si>
  <si>
    <t>Esperando version firmada.</t>
  </si>
  <si>
    <t>UNAH: Clarissa Nuñez (VRA) 2216-6100, ext. 110238</t>
  </si>
  <si>
    <t>FICHA 2014-05-VAR</t>
  </si>
  <si>
    <t>2014-06-VAR</t>
  </si>
  <si>
    <t>Embajada de Japón, Asociación Hondureña de Becarios del Japón (AHBEJA)</t>
  </si>
  <si>
    <t>Facilitar el desarrollo conjunto de actividades de colaboración mutua, divulgación del idioma japonés y su cultura.</t>
  </si>
  <si>
    <t>Facultad de Humanidades y Artes, Lenguas Extranjeras</t>
  </si>
  <si>
    <t>6 de junio del 2014</t>
  </si>
  <si>
    <t>Lic. Jorge Lowenberg</t>
  </si>
  <si>
    <t>FICHA 2014-06-VAR</t>
  </si>
  <si>
    <t>2014-07-INT</t>
  </si>
  <si>
    <t>Organismo Internacional Regional de Sanidad Agropecuaria (OIRSA)</t>
  </si>
  <si>
    <t>Regular la relación de cooperación entre las partes a fin de construir y administrar un vivero para la multiplicación de yemas en adelante "el vivero" en el marco del proyecto de Control del HLB.</t>
  </si>
  <si>
    <t>28 de enero del 2014</t>
  </si>
  <si>
    <t>UNAH: Lic. Jean Odell Anckle</t>
  </si>
  <si>
    <t>FICHA 2014-07-INT</t>
  </si>
  <si>
    <t>2014-08-FR</t>
  </si>
  <si>
    <t>25 de septiembre del 2014</t>
  </si>
  <si>
    <t>Reemplazó anteriro Carta de Intenciones 2009-05-FR.</t>
  </si>
  <si>
    <t>Francia: Encargada de Cooperación UNAH: VRI, Escuela de Lenguas Extranjeras</t>
  </si>
  <si>
    <t>FICHA 2014-08-FR</t>
  </si>
  <si>
    <t>2014-09-NI</t>
  </si>
  <si>
    <t>Universidad Nacional Autónoma de Nicaragua, Managua (UNAN-Managua)</t>
  </si>
  <si>
    <t>15 de diciembre del 2014</t>
  </si>
  <si>
    <t>UNAH: VRI, F. C. Médicas UNAN: Director Instituto Politécnico de la Salud (POLISAL), ips@unan.edu.ni T: (505) 2277-0257, Director de la Oficina de Relaciones Públicas cwallace@unan.edu.ni T: (505) 22700042</t>
  </si>
  <si>
    <t>2014-10-MX</t>
  </si>
  <si>
    <t>Universidad Autónoma de Baja California (UABC)</t>
  </si>
  <si>
    <t>Intercambio académico de estudiante mexicano José Antonio Domínguez Almendárez</t>
  </si>
  <si>
    <t>24 de noviembre del 2014</t>
  </si>
  <si>
    <t>Enero 2015-Mayo 2015</t>
  </si>
  <si>
    <t>2014-11-US</t>
  </si>
  <si>
    <t>Instituto de Investigación de la Universidad Indiana de Pennsylvania (IUP-RI)</t>
  </si>
  <si>
    <t>Proyecto de investigación "Evaluación de Biodiversidad y Ecosistemas en el Valle de Agalta para la Protección del Colibrí Esmeralda"</t>
  </si>
  <si>
    <t>Facultad de Ciencias, Departamento de Biología</t>
  </si>
  <si>
    <t>10 meses</t>
  </si>
  <si>
    <t>UNAH: M. Sc. Elia Martha Sarmiento, Dept. Biología, eliasarmiento@gmail.com; IUP-RI: Dr. Jeff Larkin, Investigador Principal, jeff.larkin@iup.edu</t>
  </si>
  <si>
    <t>2014-12-CO</t>
  </si>
  <si>
    <t>Universidad de Caldas</t>
  </si>
  <si>
    <t>2 de diciembre del 2014</t>
  </si>
  <si>
    <t>UNAH: Julio Izaguirre, Jefe Departamento de Filosofía, 3171-8229, jizaguirrebenitez@gmail.com</t>
  </si>
  <si>
    <t>FICHA 2014-12-CO</t>
  </si>
  <si>
    <t>2014-13-MX</t>
  </si>
  <si>
    <t>Universidad Autónoma de Querétaro (UAQ)</t>
  </si>
  <si>
    <t>12 de julio del 2014</t>
  </si>
  <si>
    <t>UNAH: Lic. Belinda Flores de Mendoza, Decana F. Econ., Dr. Jorge Abraham Arita León, Coord. Gral. Postgrados F. Econ. T: 2232-5542, 2213-9333, 2239-9098, 2239-9046, jarita.posface@gmail.com UAQ: Dr. Alberto de Jesús Pastrana Palma, Jefe de Inv. Y Postgrado de la Fac. De Contaduría y Administración, T: (442) 192 12 00ext. 5620 y 5269</t>
  </si>
  <si>
    <t>2014-14-US</t>
  </si>
  <si>
    <t>Universidad de Columbia de Nueva York (Columbia University in the City of New York)</t>
  </si>
  <si>
    <t>Visitas y pasantías para estudiantes de medicina</t>
  </si>
  <si>
    <t>19 de agosto del 2014</t>
  </si>
  <si>
    <t>Terminado por contraparte a partir del 31 de diciembre de 2017. Nota de cancelación anexada a documento.</t>
  </si>
  <si>
    <t>2014-15-CU</t>
  </si>
  <si>
    <t>Instituto Superior Politécnico "José Antonio Echeverría" (ISPJAE)</t>
  </si>
  <si>
    <t>Facultad de Ciencias, Facultad de Ingeniería</t>
  </si>
  <si>
    <t>26 de septiembre del 2014</t>
  </si>
  <si>
    <t>2014-16-CU</t>
  </si>
  <si>
    <t>Cooperación en las áreas de ciencias de la tierra, geofísica, hidrogeología, etc.</t>
  </si>
  <si>
    <t>UNAH: VRI, F. Ciencias, Dr. Nabil Kawas, nkawask@gmail.com, T: 22325832. ISPJAE: Decano F. Ingeniería Civil, Dr. William Cobelo Cristiá, T: (537) 2663212, decano.civil@tesla.cujae.edu.cu</t>
  </si>
  <si>
    <t>2014-17-CU</t>
  </si>
  <si>
    <t>Cooperación en las áreas de la ingeniería, ambiente y otros.</t>
  </si>
  <si>
    <t>UNAH: VRI, F. Ingeniería, Ing. José Mónico Oyuela Martínez, T: 22324669; ISPJAE: Decano F. Ingeniería Civil, Dr. William Cobelo Cristiá, T: (537) 2663212, decano.civil@tesla.cujae.edu.cu</t>
  </si>
  <si>
    <t>2014-18-CU</t>
  </si>
  <si>
    <t>Instituto Superior de Tecnología y Ciencias Aplicadas (InSTEC)</t>
  </si>
  <si>
    <t>3 de octubre del 2014</t>
  </si>
  <si>
    <t>No constan fechas de firma. Se utiliza la fecha de firma del convenio específico.</t>
  </si>
  <si>
    <t>UNAH: F. Ciencias, F. Ingeniería, VRI. InSTEC: Dirección de Ciencia, Colaboración y Postgrado</t>
  </si>
  <si>
    <t>2014-19-CU</t>
  </si>
  <si>
    <t>Intercambio estudiantes, docentes e investigadores. Asesoría desarrollo Unidad de Nanociencias y Nanotecnología F. Ciencias UNAH, cooperación académica en ciencias, asesoría diseño de maestrías en energía renovable, gestión ambiental y gestión integral del agua, asesoía en temas de meteorología y gestión del riesgo</t>
  </si>
  <si>
    <t>2014-20-INT</t>
  </si>
  <si>
    <t>Programa Mundial de Alimentos (PMA)</t>
  </si>
  <si>
    <t>Facultad de Ciencias, Instituto Hondureño de Ciencias de la Tierra (IHCIT)</t>
  </si>
  <si>
    <t>5 de diciembre del 2014</t>
  </si>
  <si>
    <t>2014-21-AR</t>
  </si>
  <si>
    <t>Universidad Nacional de la Plata (UNLP)</t>
  </si>
  <si>
    <t>Cooperación general en temas de investigación.</t>
  </si>
  <si>
    <t>9 de septiembre del 2014</t>
  </si>
  <si>
    <t>FICHA 2014-21-AR</t>
  </si>
  <si>
    <t>2014-22-CU</t>
  </si>
  <si>
    <t>Instituto Superior Minero Metalúrgico de Moa "Dr. Antonio Núñez Jiménez" (ISMMM)</t>
  </si>
  <si>
    <t>Cooperación General. Colaboración específica en áreas de electromecánica, geología, metalurgia y materiales, informática, mecánica, medio ambiente, matemática, física, química, ciencias sociales, pedagogía, información científico-técnica, cultura física.</t>
  </si>
  <si>
    <t>9 de octubre del 2014</t>
  </si>
  <si>
    <t>2014-23-CU</t>
  </si>
  <si>
    <t>Visita de evaluación del ISMMM a laboratorios de Metalurgia, Eléctrica y Mecánica UNAH. Cooperación académica en áreas de la Facultad de Ciencias y Facultad de Ingeniería.</t>
  </si>
  <si>
    <t xml:space="preserve">Documento no especifica fecha de firma, únicamente hace referencia a la firma del convenio marco. Se firmó una nueva edición en el 2020, </t>
  </si>
  <si>
    <t>UNAH: Ing. José Mónico Oyuela Martínez (F. Ingeniería, Dr. Nabil Kawas (F. Ciencias) ISMMM: M. Sc. Yurisley Valdés Mariño (F. Geología y Minas), Dr. C. Amaury Palacios Rodríguez (F. Metalurgia y Electromecánica)</t>
  </si>
  <si>
    <t>2014-24-MX</t>
  </si>
  <si>
    <t>Instituto Nacional de Salud Pública (INSP)</t>
  </si>
  <si>
    <t>Cooperación en áreas de nutrición y sistemas de salud pública; prevención, diagnóstico y tratamiento de enfermedades; rehabilitación de pacientes; medidas sanitarias; otros.</t>
  </si>
  <si>
    <t>11 de noviembre del 2014</t>
  </si>
  <si>
    <t>No consta fecha de firma de contraparte mexicana.</t>
  </si>
  <si>
    <t>2014-25-GT</t>
  </si>
  <si>
    <t>Universidad de San Carlos de Guatemala (USAC)</t>
  </si>
  <si>
    <t>Guatemala</t>
  </si>
  <si>
    <t>Facultad de Humanidades y Artes, Escuela de Arquitectura</t>
  </si>
  <si>
    <t>26 de noviembre del 2014</t>
  </si>
  <si>
    <t>Se firmó adenda en enero del 2020 que extiende vigencia original de 5 años a un período indefinido.</t>
  </si>
  <si>
    <t>UNAH: Escuela de Arquitectura, Facultad de Humanidades y Artes; VRI USAC: Facultad de Arquitectura; Coordinadora General de Cooperación; Tel.: (502) 24187660, 24439627, usaccri@usac.edu.gt</t>
  </si>
  <si>
    <t>FICHA 2014-25-GT</t>
  </si>
  <si>
    <t>2014-26-ES</t>
  </si>
  <si>
    <t>Universidad de Valencia (Universitat de València) (UV), Fundación Universidad-Empresa de Valencia (Fundació Universitat Empresa de València)</t>
  </si>
  <si>
    <t>Desarrollo de Maestría en Derecho Constitucional</t>
  </si>
  <si>
    <t>19 de noviembre del 2014</t>
  </si>
  <si>
    <t>Se suscribió adenda en 2016 para extender vigencia. Se suscribió adenda en el 2019 para extender vigencia y retirar la participación de la Fundación del convenio.</t>
  </si>
  <si>
    <t>FICHA 2014-26-ES</t>
  </si>
  <si>
    <t>2014-27-NI</t>
  </si>
  <si>
    <t>Universidad Nacional Autónoma de Nicaragua, León (UNAN-León)</t>
  </si>
  <si>
    <t>CURLP</t>
  </si>
  <si>
    <t>20 de marzo del 2014</t>
  </si>
  <si>
    <t>Firmado por Directora CURLP, no Rectoría.</t>
  </si>
  <si>
    <t>2014-28-VAR</t>
  </si>
  <si>
    <t>EURICA (ERASMUS MUNDUS)</t>
  </si>
  <si>
    <t>Conformación de consorcio de movilidad internacional auspiciado por la Agencia Ejecutiva en el Ámbito Educativo, Audiovisual y Cultural (EACEA) de la Unión Europea.</t>
  </si>
  <si>
    <t>18 de junio del 2014</t>
  </si>
  <si>
    <t>Feara Klaren, Coordinación EURICA, Universidad de Groningen (Países Bajos)</t>
  </si>
  <si>
    <t>2014-29-VAR</t>
  </si>
  <si>
    <t>EULALINKS SENSE (ERASMUS MUNDUS)</t>
  </si>
  <si>
    <t>22 de noviembre del 2014</t>
  </si>
  <si>
    <t>Pendiente recibir documento firmado por contraparte. Enviado a Humboldt Universität zu Berlin en Alemania (Coordinadora), el 13 de noviembre del 2015. Suscrito en el 2015 con firma retroactiva al 2014.</t>
  </si>
  <si>
    <t>2014-30-ES</t>
  </si>
  <si>
    <t>Universidad Autónoma de Madrid (UAM)</t>
  </si>
  <si>
    <t>14 de octubre del 2014</t>
  </si>
  <si>
    <t>2014-31-GB</t>
  </si>
  <si>
    <t>International Network for the Availability of Scientific Publications (INASP)</t>
  </si>
  <si>
    <t>Reino Unido</t>
  </si>
  <si>
    <t>Brindar accesos a la UNAH a publicaciones científicas</t>
  </si>
  <si>
    <t>Hasta junio de 2017</t>
  </si>
  <si>
    <t>2014-32-CU</t>
  </si>
  <si>
    <t>Intercambio académico</t>
  </si>
  <si>
    <t>23 de diciembre de 2014</t>
  </si>
  <si>
    <t>No se consigna fecha de firma para UNAH. Agregado de archivo de Secretaría General.</t>
  </si>
  <si>
    <t>FICHA 2014-32-CU</t>
  </si>
  <si>
    <t>2015-01-MX</t>
  </si>
  <si>
    <t>Colegio de Tamaulipas (COLTAM)</t>
  </si>
  <si>
    <t>9 de enero del 2015</t>
  </si>
  <si>
    <t>2015-02-PE</t>
  </si>
  <si>
    <t>Universidad Peruana Cayetano Heredia (UPCH)</t>
  </si>
  <si>
    <t>Perú</t>
  </si>
  <si>
    <t>Intercambio académico en área de odontología.</t>
  </si>
  <si>
    <t>Facultad de Odontología</t>
  </si>
  <si>
    <t>13 de febrero del 2015</t>
  </si>
  <si>
    <t>UPCH: Facultad de Estomatología, faest.orii@upch.pe, Tel: (51-1) 6139740 (6229, 6264)</t>
  </si>
  <si>
    <t>2015-03-US</t>
  </si>
  <si>
    <t>University of Saint Louis (Universidad de San Luis, SLU)</t>
  </si>
  <si>
    <t>Cooperación General</t>
  </si>
  <si>
    <t>18 de febrero del 2015</t>
  </si>
  <si>
    <t>UNAH: Dr. Marco Tulio Medina, Decano Facultad de Ciencias Médicas SLU: Global Health Office of the College for Public Health and Social Justice, 314-977-4022, schaabe@slu.edu</t>
  </si>
  <si>
    <t>2015-04-VAR</t>
  </si>
  <si>
    <t>Organización Mundial de Turismo (OMT), Instituto Hondureño de Turismo (IHT), Cámara Nacional de Turismo de Honduras (CANATURH), Zona Libre Turística (ZOLITUR)</t>
  </si>
  <si>
    <t>Suscribir un convenio para establecer el Observatorio de Turismo Sostenible y Cambio Climático (OTSCC)</t>
  </si>
  <si>
    <t>CURLA, DICYP</t>
  </si>
  <si>
    <t>20 de marzo del 2015</t>
  </si>
  <si>
    <t>Hasta suscribir convenio</t>
  </si>
  <si>
    <t>FICHA 2015-04-VAR</t>
  </si>
  <si>
    <t>2015-05-JP</t>
  </si>
  <si>
    <t>Universidad de Kanazawa (KU)</t>
  </si>
  <si>
    <t>Japón</t>
  </si>
  <si>
    <t>22 de mayo del 2015</t>
  </si>
  <si>
    <t>2015-06-VAR</t>
  </si>
  <si>
    <t>Febrero del 2015</t>
  </si>
  <si>
    <t>Hasta 31 de diciembre del 2016</t>
  </si>
  <si>
    <t>Copia no especifica fecha exacta de firma. Convenio es una reiteración del anterior instrumento 2012-21-VAR.</t>
  </si>
  <si>
    <t>2015-07-SV</t>
  </si>
  <si>
    <t>Universidad de El Salvador (UES)</t>
  </si>
  <si>
    <t>7 de octubre del 2015</t>
  </si>
  <si>
    <t>Renovado el 21 de marzo del 2022 por otros 6 años.</t>
  </si>
  <si>
    <t>2015-08-VAR</t>
  </si>
  <si>
    <t>Banco Interamericano de Desarrollo (BID), Alcaldía Municipal del Distrito Central (AMDC)</t>
  </si>
  <si>
    <t>Realización del evento Hackaton de Innovación Ciudadana, noviembre del 2015</t>
  </si>
  <si>
    <t>Facultad de Ingeniería, Carrera de Ingeniería en Sistemas</t>
  </si>
  <si>
    <t>30 de septiembre del 2015</t>
  </si>
  <si>
    <t>Hasta conclusión del evento</t>
  </si>
  <si>
    <t>UNAH: Yeny Carías, Departamento de Ingeniería en Sistemas</t>
  </si>
  <si>
    <t>2015-09-ES</t>
  </si>
  <si>
    <t>Universidad de Alicante (UA)</t>
  </si>
  <si>
    <t>26 de mayo del 2015</t>
  </si>
  <si>
    <t>2015-10-VAR</t>
  </si>
  <si>
    <t>MAYA-NET (ERASMUS MUNDUS)</t>
  </si>
  <si>
    <t>2 de noviembre del 2015</t>
  </si>
  <si>
    <t>Ya está en ejecución. Pendiente firma de la contraparte. Enviado a Universidad de L'Aquila en Italia (Coordinadora), el 9 de noviembre del 2015. Archivo digital corresponde a traducción. Original firmado por UNAH en carpeta de Google Drive.</t>
  </si>
  <si>
    <t>2015-11-ES</t>
  </si>
  <si>
    <t>Consorcio de Acción Social de la Garrocha (Consorci D´Acció Social de la Garrotxa) (CASG)</t>
  </si>
  <si>
    <t>Permitir a estudiante de psicología de UNAH Irma Leticia López Chávez, realizar práctica profesional en Consorci, en la ciudad de Girona, España.</t>
  </si>
  <si>
    <t>Departamento de Psicología</t>
  </si>
  <si>
    <t>29 de septiembre del 2015</t>
  </si>
  <si>
    <t>Hasta conclusión de práctica profesional de interesada.</t>
  </si>
  <si>
    <t>Archivo digital no cuenta con firma de contraparte. Original con todas las firmas en archivo de Rectoría.</t>
  </si>
  <si>
    <t>2015-12-ES</t>
  </si>
  <si>
    <t>Universidad Politécnica de Madrid (UPM)</t>
  </si>
  <si>
    <t>Desarrollo de Protecto de Cooperación "Sostenibilidad y Arraigo del Patrimonio Cultural y Natural en el Corredor Mesoamericano"</t>
  </si>
  <si>
    <t>24 de noviembre del 2015</t>
  </si>
  <si>
    <t>No consta fecha de firma en documento. Fecha indicada se refiere a recepción del documento firmado en VRI.</t>
  </si>
  <si>
    <t>2015-13-ES</t>
  </si>
  <si>
    <t>Universidad de Málaga (UMA)</t>
  </si>
  <si>
    <t>13 de octubre del 2015</t>
  </si>
  <si>
    <t>FICHA 2015-13-ES</t>
  </si>
  <si>
    <t>2015-14-CR</t>
  </si>
  <si>
    <t>Benemérita Universidad Estatal a Distancia (UNED)</t>
  </si>
  <si>
    <t>18 de diciembre del 2015</t>
  </si>
  <si>
    <t>UNED: Ing. Cecilia Barrantes, Dirección de Internacionalización y Cooperación, cbarrantes@uned.ac.cr, (506) 25272348, 22343236 UNAH: Dr. Carlos Arturo Ochoa, Dirección de Sistema de Educación a Distancia (504) 22310687, carlos.ochoa@unah.edu.hn</t>
  </si>
  <si>
    <t>FICHA 2015-14-CR</t>
  </si>
  <si>
    <t>2015-15-MX</t>
  </si>
  <si>
    <t>Cooperación para el fortalecimiento de la Maestría Académica Regional Centroamericana en Astronomía y Astrofísica (MARCAA).</t>
  </si>
  <si>
    <t>15 de octubre del 2015</t>
  </si>
  <si>
    <t>FICHA 2015-15-MX</t>
  </si>
  <si>
    <t>2015-16-INT</t>
  </si>
  <si>
    <t>Universidad para la Paz (UPAZ)</t>
  </si>
  <si>
    <t>11 de diciembre del 2015</t>
  </si>
  <si>
    <t>Si bien la sede de UPAZ se encuentra en Costa Rica, no es una institución educativa costarricense, sino un órgano especializado de la Organización de las Naciones Unidas (ONU).</t>
  </si>
  <si>
    <t>UNAH: Facultad de Ciencias Sociales, Instituto Universitario en Democracia, Paz y Seguridad (IUDPAS), Facultad de Ciencias Jurídicas, Maestría en Derechos Humanos y Desarrollo UPAZ: Dr. Juan Carlos Saínz Borgo, Decano de Cooperación Externa, jsainz@upeace.org, (506) 2205-9087/9083</t>
  </si>
  <si>
    <t>2015-17-US</t>
  </si>
  <si>
    <t>Universidad Internacional de la Florida (Florida International University) (FIU)</t>
  </si>
  <si>
    <t>26 de octubre de 2015</t>
  </si>
  <si>
    <t>Memorándum de entendimiento no fue gestionado por VRI, se remitió a Rectoría directamente por UNAH-VS</t>
  </si>
  <si>
    <t>FIU: Ranu Jung, Decano "College of Engineering and Computing" UNAH: Ruben E. Fernández Cole, Profesor Jefatura Informática Administrativa UNAH-VS</t>
  </si>
  <si>
    <t>2016-01-ES</t>
  </si>
  <si>
    <t>Universidad de Granada (UGR)</t>
  </si>
  <si>
    <t>Cooperación general. Visita de docentes de psicología de UGR a UNAH. Desarrollo conjunto de curso sobre arte.</t>
  </si>
  <si>
    <t>Facultad de Ciencias Sociales, Facultad de Humanidades y Artes</t>
  </si>
  <si>
    <t>29 de enero del 2016</t>
  </si>
  <si>
    <t>UNAH: Dra. Lidia Cálix, Asistente Técnico Facultad Humanidades y Artes, MSc. Lina Mendoza, Coordinadora Académica Carrera de Psicología; UGR: Dr. Antonio Fernández Parra, Coordinador del Máster Universitario en Psicología General Sanitaria, Joaquín Roldán, Facultad de Bellas Artes</t>
  </si>
  <si>
    <t>2016-02-VAR</t>
  </si>
  <si>
    <t>Escuela de Agricultura de la Región Tropical Húmeda de Costa Rica (EARTH), Universidad Nacional de Agricultura (UNA), Universidad de Ciencias Forestales (U-ESNACIFOR) y Escuela Agrícola Panamericana (ZAMORANO)</t>
  </si>
  <si>
    <t>9 de mayo del 2016</t>
  </si>
  <si>
    <t>FICHA 2016-02-VAR</t>
  </si>
  <si>
    <t>2016-03-PA</t>
  </si>
  <si>
    <t>Universidad Tecnológica de Panamá (UTP)</t>
  </si>
  <si>
    <t>6 de mayo del 2016</t>
  </si>
  <si>
    <t>FICHA 2016-03-PA &amp; 2016-04-PA</t>
  </si>
  <si>
    <t>2016-04-PA</t>
  </si>
  <si>
    <t>Cooperación académica en el área de Ciencias Aeronáuticas.</t>
  </si>
  <si>
    <t>2016-05-PL</t>
  </si>
  <si>
    <t>Universidad de Lodz (Uniwersytet Łódzki) (UL)</t>
  </si>
  <si>
    <t>Polonia</t>
  </si>
  <si>
    <t>18 de mayo del 2016</t>
  </si>
  <si>
    <t>Hasta 2026</t>
  </si>
  <si>
    <t>Prorrogado hasta el 2026 el 24 de marzo del 2021.</t>
  </si>
  <si>
    <t>2016-06-ES</t>
  </si>
  <si>
    <t>30 de septiembre de 2016</t>
  </si>
  <si>
    <t>No tiene fecha de firma de UNAH.</t>
  </si>
  <si>
    <t>UNAH: Arq. Gloria Grimaldi, Depto. Arquitectura UNAH, 9996-3992 UPV: Oficina de Acción Internacional +34-963877832, dai@upv.es</t>
  </si>
  <si>
    <t>FICHA 2016-06-ES</t>
  </si>
  <si>
    <t>2016-07-ES</t>
  </si>
  <si>
    <t>Apoyo docente de UPV para Maestría en Conservación y Gestión del Patrimonio para el Desarrollo de la UNAH</t>
  </si>
  <si>
    <t>No tiene fecha de firma de UNAH. Ficha llenada por FHHAA  menciona participación de USAC, (GT) UPM (ES) y UP (PA), pero no consta en convenio.</t>
  </si>
  <si>
    <t>FICHA-2016-07-ES</t>
  </si>
  <si>
    <t>2016-08-VAR</t>
  </si>
  <si>
    <t>Secretaría General Iberoamericana (SEGIB), Organización de Estados Iberoamericanos para la Educación, la Ciencia y la Cultura (OEI), Consejo Universitario Iberoamericano (CUIB)</t>
  </si>
  <si>
    <t>Adhesión a la Alianza para la Movilidad Académica</t>
  </si>
  <si>
    <t>14 de abril de 2016</t>
  </si>
  <si>
    <t>Firmado, quedando pendiente aprobación por parte de Consejo Universitario (falta dictamen SEAF)</t>
  </si>
  <si>
    <t>2016-09-ES</t>
  </si>
  <si>
    <t>6 de julio de 2016</t>
  </si>
  <si>
    <t>FICHA 2016-09-ES</t>
  </si>
  <si>
    <t>2016-10-ES</t>
  </si>
  <si>
    <t>Amigos de la Tierra - España (ADTE)</t>
  </si>
  <si>
    <t>Acuerdo para co-ejecutar Proyecto "Cultivo Biointensivo para familias rurales del Corredor Seco" con fondos BID</t>
  </si>
  <si>
    <t>3 de agosto de 2016</t>
  </si>
  <si>
    <t>Duración del proyecto (36 meses a partir de suscripción de convenio entre ADTE y BID)</t>
  </si>
  <si>
    <t>FICHA 2016-10-ES</t>
  </si>
  <si>
    <t>2016-11-INT</t>
  </si>
  <si>
    <t>Doctorado en Ciencias Sociales con orientación en Gestión al Desarrollo</t>
  </si>
  <si>
    <t>26 de septiembre de 2016</t>
  </si>
  <si>
    <t>Se firmó adenda a la carta el 28 de noviembre de 2016</t>
  </si>
  <si>
    <t>2016-12-US</t>
  </si>
  <si>
    <t>Universidad de California, Riverside (UCR)</t>
  </si>
  <si>
    <t>Facultad de Humanidades y Artes, Teatro</t>
  </si>
  <si>
    <t>19 de octubre de 2016</t>
  </si>
  <si>
    <t>2016-13-SV</t>
  </si>
  <si>
    <t>Fundación Dr. Guillermo Manuel Ungo (FUNDAUNGO)</t>
  </si>
  <si>
    <t>Acercamiento para desarrollo de programa "Plataforma para la seguridad ciudadana juvenil México-Centroamérica"</t>
  </si>
  <si>
    <t>26 de octubre de 2016</t>
  </si>
  <si>
    <t>3 meses, renovación automática hasta suscribir convenio</t>
  </si>
  <si>
    <t>FICHA 2016-13-SV</t>
  </si>
  <si>
    <t>2016-14-VAR</t>
  </si>
  <si>
    <t>Universidad de Málaga (UMA), Dirección de Niñez, Adolescencia e Infancia de Honduras (DINAF)</t>
  </si>
  <si>
    <t>Acercamiento para implementar "Máster Universitario en Protección de la Infancia y Justicia Juvenil" en UNAH</t>
  </si>
  <si>
    <t>25 de noviembre de 2016</t>
  </si>
  <si>
    <t>Hasta suscribir Convenio Específico</t>
  </si>
  <si>
    <t>2016-15-INT</t>
  </si>
  <si>
    <t>20 de diciembre de 2016</t>
  </si>
  <si>
    <t>2016-16-INT</t>
  </si>
  <si>
    <t>Desarrollo de "PROYECTO DE COOPERACIÓN ENTRE LA UNAH Y LA OEI EN EL CAMPO DE LA FORMACIÓN Y CERTIFICACIÓN DEL
PROFESORADO UNIVERSITARIO"</t>
  </si>
  <si>
    <t>Hasta septiembre de 2017</t>
  </si>
  <si>
    <t>Fecha de firma no consignada en convenio (fue firmado el mismo día que el convenio marco).</t>
  </si>
  <si>
    <t>2016-17-BR</t>
  </si>
  <si>
    <t>Universidad Estatal de Campinas (Universidade Estadual de Campinas) (UNICAMP)</t>
  </si>
  <si>
    <t>30 de agosto de 2016</t>
  </si>
  <si>
    <t>No consta fecha de firma de Rectoría UNAH.</t>
  </si>
  <si>
    <t>FICHA 2016-17-BR</t>
  </si>
  <si>
    <t>2016-18-KR</t>
  </si>
  <si>
    <t>Korea Foundation (Fundación Corea), Embajada de Corea del Sur</t>
  </si>
  <si>
    <t>Financiar un profesor de lengua coreana para la UNAH</t>
  </si>
  <si>
    <t>18 de septiembre de 2016</t>
  </si>
  <si>
    <t>Hasta fin de clases (mayo 2017)</t>
  </si>
  <si>
    <t>2016-19-US</t>
  </si>
  <si>
    <t>Counterpart International, Inc.</t>
  </si>
  <si>
    <t>Acta de Donación</t>
  </si>
  <si>
    <t>Donar documentos al Instituto de Investigaciones Social de la UNAH (IIS-UNAH)</t>
  </si>
  <si>
    <t>Instituto de Investigaciones Social de la UNAH (IIS-UNAH)</t>
  </si>
  <si>
    <t>4 de abril de 2016</t>
  </si>
  <si>
    <t>2016-20-FR</t>
  </si>
  <si>
    <t>Creación de una cátedra cultural franco-hondureña</t>
  </si>
  <si>
    <t>27 de septiembre de 2016</t>
  </si>
  <si>
    <t>2016-21-FR</t>
  </si>
  <si>
    <t>Cofinanciamiento de becas de maestría en Francia</t>
  </si>
  <si>
    <t>2016-22-US</t>
  </si>
  <si>
    <t>Universidad de Nebraska-Lincoln (UNL)</t>
  </si>
  <si>
    <t>9 de noviembre de 2016</t>
  </si>
  <si>
    <t>1 año o hasta suscribir convenio</t>
  </si>
  <si>
    <t>Esta carta fue tramitada de manera independiente por la Facultad de Ciencias Espaciales. Reemplazada por Memorándum de Entendimiento 2019-31-US.</t>
  </si>
  <si>
    <t>2016-23-HN</t>
  </si>
  <si>
    <t>Fundación Honduras Global (HG)</t>
  </si>
  <si>
    <t>Honduras</t>
  </si>
  <si>
    <t>8 de marzo de 2016</t>
  </si>
  <si>
    <t>Este documento fue tramitado por medio de la VRI, a pesar de que la contraparte es una ONG hondureña</t>
  </si>
  <si>
    <t>2016-24-PA</t>
  </si>
  <si>
    <t>Universidad Especializada de las Américas (UDELAS)</t>
  </si>
  <si>
    <t>27 de mayo de 2016</t>
  </si>
  <si>
    <t>2016-25-MX</t>
  </si>
  <si>
    <t>Universidad Autónoma de Campeche (UAC)</t>
  </si>
  <si>
    <t>13 de abril de 2016</t>
  </si>
  <si>
    <t>2017-01-PA</t>
  </si>
  <si>
    <t>Robert Bosch Panamá, S.A.</t>
  </si>
  <si>
    <t>Cooperación  general para transferencia tecnológica y capacitación</t>
  </si>
  <si>
    <t>17 de enero de 2017</t>
  </si>
  <si>
    <t>2017-02-INT</t>
  </si>
  <si>
    <t>Apoyo a la Carrera de Nutrición mediante estipendios para el desarrollo de prácticas profesionales supervisadas con el PMA</t>
  </si>
  <si>
    <t>25 de enero de 2017</t>
  </si>
  <si>
    <t>FICHA 2017-02-INT</t>
  </si>
  <si>
    <t>2017-03-US</t>
  </si>
  <si>
    <t>Fortalecimiento del Posgrado en Oncología Quirúrgica</t>
  </si>
  <si>
    <t>3 de febrero de 2017</t>
  </si>
  <si>
    <t>Documento no consigna fecha de firma, pero fue recibido el 3 de febrero de 2017 por medio de Oficio No. 096-DICYP 2017 de la Dirección de Investigación Científica y Posgrado.</t>
  </si>
  <si>
    <t>2017-04-INT</t>
  </si>
  <si>
    <t>Facultad Latinoamericana de Ciencias Sociales (FLACSO)</t>
  </si>
  <si>
    <t>9 de marzo de 2017</t>
  </si>
  <si>
    <t>10 años, renovación automática</t>
  </si>
  <si>
    <t>2017-05-VAR</t>
  </si>
  <si>
    <t>Embajada de Francia, Secretaría Educación de Honduras</t>
  </si>
  <si>
    <t>Apoyo a la enseñanza del francés en el sistema de educación nacional</t>
  </si>
  <si>
    <t>Facultad de Humanides y Artes</t>
  </si>
  <si>
    <t>16 de marzo de 2017</t>
  </si>
  <si>
    <t>FICHA 2017-05-VAR</t>
  </si>
  <si>
    <t>2017-06-MX</t>
  </si>
  <si>
    <t>Instituto Nacional de Rehabilitación "Luis Guillermo Ibarra Ibarra" de los Estados Unidos Mexicanos (INR)</t>
  </si>
  <si>
    <t>22 de marzo de 2017</t>
  </si>
  <si>
    <t>FICHA 2017-06-MX</t>
  </si>
  <si>
    <t>2017-07-NI</t>
  </si>
  <si>
    <t>Profesionalización de docentes técnicos universitarios de Terapia Funcional de la UNAH en la UNAN.</t>
  </si>
  <si>
    <t>7 de febrero de 2017</t>
  </si>
  <si>
    <t>UNAN: Secretario General UNAN, Dr. Luis Alfredo Lobato Blanco, Director IPS-POLISAL, Msc. Juan Francisco Rocha López, Director de Relaciones Públicas, Dr. Charles Boudier; rpublicas@unan.edu.ni Tels.: 22786779, 22786772. UNAH: Departamento de Rehabilitación de la Facultad de Ciencias Médicas</t>
  </si>
  <si>
    <t>FICHA 2017-07-NI</t>
  </si>
  <si>
    <t>2017-08-ES</t>
  </si>
  <si>
    <t>2 de junio de 2017</t>
  </si>
  <si>
    <t>Renovación del convenio anterior 2011-06-ES.</t>
  </si>
  <si>
    <t>UNAH: Sofia Alvarado, sofia.alvarado@unah.edu.hn
Edna Martínez, edna.martinez@unah.edu.hn  
Fundación Carolina: Juan Torres, juan.torres@fundacioncarolina.es</t>
  </si>
  <si>
    <t>FICHA 2017-08-ES</t>
  </si>
  <si>
    <t>2017-09-MX</t>
  </si>
  <si>
    <t>Agosto de 2017</t>
  </si>
  <si>
    <t>BUAP: Dirección General de Desarrollo Internacional, Quentin Boulat Riou, dirección.dgdi@correo.buap.mx UNAH: VRI</t>
  </si>
  <si>
    <t>2017-10-ES</t>
  </si>
  <si>
    <t>Universidad de Coruña (Universidade da Coruña) (UDC)</t>
  </si>
  <si>
    <t>18 de julio de 2017</t>
  </si>
  <si>
    <t>Decana FACES, Vilma Lorena Ochoa, lorena.ochoa@unah.edu.hn
Jefe DCTIG Eduardo Moreno Segura, eduardo.moreno@unah.edu.hn
Coordinador de posgrados FACES, Rafael Enrique Corrales, rcorrales@unah.edu.hn
UDC: Director del Departamento de Ingeniería Civil, Profesor del Grupo de Visualización Avanzada y Cartografía, Francisco Alberto Varela García, alberto.varela@udc.es
Director IIE, Marco Flores, marco.flores@unah.edu.hn
Directora de la Oficina de Relaciones Internacionales , Begoña Crespo, erasmus@udc.es, Casa do Lagar, Campus de Elviña 15071. A Coruña, España. Tel.: +34 9811670</t>
  </si>
  <si>
    <t>FICHA 2017-10-ES</t>
  </si>
  <si>
    <t>2017-11-ES</t>
  </si>
  <si>
    <t>Impartir curso para profesores mentores de la UNAH.</t>
  </si>
  <si>
    <t>5 de mayo de 2017</t>
  </si>
  <si>
    <t>FICHA 2017-11-ES</t>
  </si>
  <si>
    <t>2017-12-ES</t>
  </si>
  <si>
    <t>Universidad de Valladolid (UVA)</t>
  </si>
  <si>
    <t>24 de agosto de 2017</t>
  </si>
  <si>
    <t>UVA: Nieves Mendizábal de la Cruz, marianieves.mendizabal@uva.es tel: 34 983 423 000 ext.6842, Directora de Centro de Idiomas UVA.</t>
  </si>
  <si>
    <t>FICHA 2017-12-ES</t>
  </si>
  <si>
    <t>2017-13-US</t>
  </si>
  <si>
    <t>Dell World Trade L.P. (DELL)</t>
  </si>
  <si>
    <t>19 de septiembre de 2017</t>
  </si>
  <si>
    <t>En convenio no consta fecha de firma, se deduce de oficio remitido por la Dirección de Adquisiciones de la UNAH, en que se menciona que se recibió el documento firmado el 19 de septiembre de 2017. Oficio DC-J-079-2017.</t>
  </si>
  <si>
    <t>UNAH: Carlos Pérez, Director de Adquisiciones</t>
  </si>
  <si>
    <t>2017-14-VAR</t>
  </si>
  <si>
    <t>Universidad Nacional Autónoma de México (UNAM), Universidad de Salamanca (USAL), Universidad de Buenos Aires (UBA), instituciones titulares del Servicio Internacional de Evaluación de la Lengua Española (SIELE)</t>
  </si>
  <si>
    <t>Adhesión de la UNAH al Servicio Internacional de Evaluacion de la Lengua Española (SIELE).</t>
  </si>
  <si>
    <t>9 de septiembre de 2017</t>
  </si>
  <si>
    <t>UNAH: Facultad de Humanidades y Artes</t>
  </si>
  <si>
    <t>FICHA 2017-14-VAR</t>
  </si>
  <si>
    <t>2017-15-CR</t>
  </si>
  <si>
    <t>Implementación de Maestría en Psicopedagogía en la UNAH con programa de UNEC-CR</t>
  </si>
  <si>
    <t>14 de junio de 2017</t>
  </si>
  <si>
    <t>Hasta conclusión de segunda promoción de Maestría.</t>
  </si>
  <si>
    <t>Se realizó enmienda al convenio en el año 2020.</t>
  </si>
  <si>
    <t>FICHA 2017-15-CR</t>
  </si>
  <si>
    <t>2017-16-INT</t>
  </si>
  <si>
    <t>14 de noviembre de 2017</t>
  </si>
  <si>
    <t>2017-17-AR</t>
  </si>
  <si>
    <t>Fundación Universidad Nacional de San Juan (FUUNSAJ)</t>
  </si>
  <si>
    <t>2017-18-MX</t>
  </si>
  <si>
    <t>Centro de Investigación y de Estudios Avanzados del Instituto Politécnico Nacional de los Estados Unidos Mexicanos (CINVESTAV)</t>
  </si>
  <si>
    <t>4 de septiembre de 2017</t>
  </si>
  <si>
    <t>UNAH: DICYP</t>
  </si>
  <si>
    <t>FICHA 2017-18-MX</t>
  </si>
  <si>
    <t>2017-19-EC</t>
  </si>
  <si>
    <t>Universidad Estatal del Sur de Manabí (UNASUM)</t>
  </si>
  <si>
    <t>Ecuador</t>
  </si>
  <si>
    <t>21 de septiembre de 2017</t>
  </si>
  <si>
    <t>UNASUM: Tel.: +507 2600229, conveniosraec@hotmail.com UNAH: Rectoría</t>
  </si>
  <si>
    <t>2017-20-JP</t>
  </si>
  <si>
    <t>15 de diciembre de 2017</t>
  </si>
  <si>
    <t>UNAH: VRI. UK: Global Planning Section, E-mail: g-planning@adm.kanazawa-u.ac.jp Tel.: +81 762645245</t>
  </si>
  <si>
    <t>2017-21-MX</t>
  </si>
  <si>
    <t>Red Iberoamericana de Medio Ambiente (REIMA)</t>
  </si>
  <si>
    <t>7 de octubre de 2017</t>
  </si>
  <si>
    <t>FICHA 2017-21-MX</t>
  </si>
  <si>
    <t>2017-22-MX</t>
  </si>
  <si>
    <t>Secretaría de Turismo del Estado de Guanajuato</t>
  </si>
  <si>
    <t>23 de octubre de 2017</t>
  </si>
  <si>
    <t>FICHA 2017-22-MX</t>
  </si>
  <si>
    <t>2017-23-INT</t>
  </si>
  <si>
    <t>Implementación de Programa de Becas "Paulo Freire"</t>
  </si>
  <si>
    <t>10 de octubre de 2017</t>
  </si>
  <si>
    <t>Hasta el 31 de diciembre de 2018.</t>
  </si>
  <si>
    <t>Documento se firmó en mayo de 2018, pero se colocó fecha de 2017 para que abarcara ciertas movilidades que se habían realizado con anterioridad</t>
  </si>
  <si>
    <t>FICHA 2017-23-INT</t>
  </si>
  <si>
    <t>2018-01-INT</t>
  </si>
  <si>
    <t>26 de enero de 2018</t>
  </si>
  <si>
    <t>UNAH: Diana Sabillón, diana.sabillon@unah.edu.hn
ILCE: Coordinador de la Maestría en Comunicación y Tecnologías Educativas del ILCE
Mg. Esteban Medina Alcántara
esteban.medina@ilce.edu.mx</t>
  </si>
  <si>
    <t>FICHA 2018-01-INT</t>
  </si>
  <si>
    <t>2018-02-CL</t>
  </si>
  <si>
    <t>Universidad de Chile (UCHILE)</t>
  </si>
  <si>
    <t>2 de enero de 2018</t>
  </si>
  <si>
    <t>2018-03-FR</t>
  </si>
  <si>
    <t>Universidad de Bordeaux Montaigne (UBM)</t>
  </si>
  <si>
    <t>6 de marzo de 2018</t>
  </si>
  <si>
    <t>2018-04-CH</t>
  </si>
  <si>
    <t>Fundación Suiza de Cooperación para el Desarrollo Técnico (SWISSCONTACT)</t>
  </si>
  <si>
    <t>Regular la gestión administrativa y financiera de de un fondo de cooperación para UNAH-TEC-DANLÍ. Adenda del 2021 amplía cooperación para el Instituto Tecnológico Superior de Tela (ITST).</t>
  </si>
  <si>
    <t>UNAH-TEC-DANLÍ</t>
  </si>
  <si>
    <t>28 de junio de 2018</t>
  </si>
  <si>
    <t>Se firmó adenda el 30 de mayo de 2021 que amplía cooperación de contraparte para abarcar al ITST.</t>
  </si>
  <si>
    <t>FICHA 2018-04-CH</t>
  </si>
  <si>
    <t>2018-05-VAR</t>
  </si>
  <si>
    <t>Alto Consejo de Evaluación de la Investigación y la Educación Superior (Haut Conseil de L'Évaluation de la Recherche et de L'Enseignement Supérieur, HCERES, HCÉRES), Consejo Centroamericano de Acreditación de la Educación Superior (CCA)</t>
  </si>
  <si>
    <t>Desarrollar una evaluación institucional de la UNAH para lograr una acreditación con HCÉRES.</t>
  </si>
  <si>
    <t>11 de julio de 2018</t>
  </si>
  <si>
    <t>Hasta fin de proyecto</t>
  </si>
  <si>
    <t>UNAH: Sara Fiallos, VRA</t>
  </si>
  <si>
    <t>FICHA 2018-05-VAR</t>
  </si>
  <si>
    <t>2018-06-MX</t>
  </si>
  <si>
    <t>Universidad del Noreste (UNE)</t>
  </si>
  <si>
    <t>27 de septiembre de 2018</t>
  </si>
  <si>
    <t>2018-07-VAR</t>
  </si>
  <si>
    <t>Red Internacional para el Acceso a Publicaciones Científicas (International Network for the Availability of Scientific Publications) (INASP), Consejo Nacional de Universidades de Nicaragua (CNU), Consorcio de Bibliotecas Universitarias de El Salvador (CBUES)</t>
  </si>
  <si>
    <t>Traspaso de la administración de las Revistas Académicas Centroamericanas en Línea (CAMJOL).</t>
  </si>
  <si>
    <t>Octubre de 2018</t>
  </si>
  <si>
    <t>Hasta conclusión de proyecto.</t>
  </si>
  <si>
    <t>UNAH: Alexander J. Flores Moncada alexander.flores@unah.edu.hn</t>
  </si>
  <si>
    <t>2018-08-VAR</t>
  </si>
  <si>
    <t>Universidad de San Carlos de Guatemala (USAC), Universidad Nacional Autónoma de Nicaragua, León (UNAN-León), Universidad de El Salvador (UES), Instituto Tecnológico de Costa Rica (ITCR), Universidad Nacional (UNA), Universidad de Panamá (UP), Universidad Especializada de las Américas (UDELAS)</t>
  </si>
  <si>
    <t>Continuación de Red SALTRA.</t>
  </si>
  <si>
    <t>7 de agosto de 2018</t>
  </si>
  <si>
    <t>UNAH: Dra. Nely Figueroa; nyfigueroahn@yahoo.com; nely.figueroa@unah.edu.hn; Dr.Lino Milian; lino.milian@unah.edu.hn; lcm69e@yahoo.es; lcm69e@yahoo.es</t>
  </si>
  <si>
    <t>2018-09-US</t>
  </si>
  <si>
    <t>Universidad de Texas en San Antonio (University of Texas at San Antonio) (UTSA)</t>
  </si>
  <si>
    <t>16 de octubre de 2018</t>
  </si>
  <si>
    <t>UNAH: Ing. Fátima Flores, fatima.flores@unah.edu.hn</t>
  </si>
  <si>
    <t>2018-10-MX</t>
  </si>
  <si>
    <t>Centro de Investigación Científica de Yucatán, A.C. (CICY)</t>
  </si>
  <si>
    <t>Cooperación general y permitir la suscripción de convenio específico para desarrollo de Maestría</t>
  </si>
  <si>
    <t>UNAH-VS/Biología</t>
  </si>
  <si>
    <t>19 de octubre de 2018</t>
  </si>
  <si>
    <t>UNAH: Dra. Claudia Lardizábal; claudia_lardizabal@unah.edu.hn 
CICY: Dra. Cecilia Hernández Zepeda
Directora de Docencia
Centro de Investigación Científica de Yucatán A.C.
Calle 43 #130 x 32 y 34,  Chuburná de Hidalgo, Mérida, Yucatán
Email: docencia@cicy.mx
Teléfono 999 9428330 ext. 355</t>
  </si>
  <si>
    <t>FICHA 2018-10-MX</t>
  </si>
  <si>
    <t>2018-11-MX</t>
  </si>
  <si>
    <t>Implementar Maestría en Ciencias Biológicas con énfasis en Biotecnología, Bioquímica y Biología Molecular o Recursos Naturales, grado de Maestría Académica</t>
  </si>
  <si>
    <t>26 de octubre de 2018</t>
  </si>
  <si>
    <t>FICHA 2018-11-MX</t>
  </si>
  <si>
    <t>2018-12-NI</t>
  </si>
  <si>
    <t>13 de agosto de 2018</t>
  </si>
  <si>
    <t>2018-13-US</t>
  </si>
  <si>
    <t>Centro de Ciencias de la Salud de la Universidad del Estado de Luisiana en Nueva Orleans (Louisiana State University Health Sciences Center at New Orleans, LSUHSC)</t>
  </si>
  <si>
    <t>Intercambio académico y desarrollo de proyectos de investigación.</t>
  </si>
  <si>
    <t>28 de noviembre de 2018</t>
  </si>
  <si>
    <t>2018-14-CU</t>
  </si>
  <si>
    <t>Universidad de las Ciencias Informáticas (UCI)</t>
  </si>
  <si>
    <t>22 de octubre de 2018</t>
  </si>
  <si>
    <t>UNAH: VRI UCI: Dirección de Relaciones Internacionales, cooperacion@uci.cu</t>
  </si>
  <si>
    <t>2018-15-BO</t>
  </si>
  <si>
    <t>Taller de Iniciativas en Estudios Rurales y Reforma Agraria (Tierra)</t>
  </si>
  <si>
    <t>Bolivia</t>
  </si>
  <si>
    <t>Ejecución de Proyecto "Red de Iniciativas de Monitoreo de Gobernanza de la Tierra y los Recursos Naturales"</t>
  </si>
  <si>
    <t>Agosto de 2018</t>
  </si>
  <si>
    <t>Hasta finalizar proyecto</t>
  </si>
  <si>
    <t>UNAH: Observatorio Universitario de Ordenamiento Territorial (OUOT)</t>
  </si>
  <si>
    <t>FICHA 2018-15-BO</t>
  </si>
  <si>
    <t>2018-16-INT</t>
  </si>
  <si>
    <t>Organización de Estados Iberoamericanos para la Educación (OEI)</t>
  </si>
  <si>
    <t>Ejecución del "Proyecto de Formulación de la OEI en el Campo de la Formación y Certificación del Profesorado Universitario"</t>
  </si>
  <si>
    <t>21 de noviembre de 2018</t>
  </si>
  <si>
    <t>UNAH: Instituto de Profesionalización y Superación Docente y OEI.</t>
  </si>
  <si>
    <t>2018-17-MX</t>
  </si>
  <si>
    <t>Sociedad Educativa de las Américas S.C., Centro Universitario Hispano Mexicano (CUHM)</t>
  </si>
  <si>
    <t>Regular los términos y condiciones que regirán la colaboración conjunta en las áreas concertadas en los campos de la educación, el currículum, la profesionalización, y el intercambio académico.</t>
  </si>
  <si>
    <t>Dirección de Docencia</t>
  </si>
  <si>
    <t>18 de octubre de 2018</t>
  </si>
  <si>
    <t>UNAH: Dirección de Docencia; CUHM: mramirez@cuhm.edu.mx</t>
  </si>
  <si>
    <t>FICHA 2018-17-MX</t>
  </si>
  <si>
    <t>2018-18-INT</t>
  </si>
  <si>
    <t>29 de agosto de 2018</t>
  </si>
  <si>
    <t>Se firmó adenda al acuerdo el 9 de diciembre del 2019.</t>
  </si>
  <si>
    <t>2019-01-ES</t>
  </si>
  <si>
    <t>Convenio Especifico</t>
  </si>
  <si>
    <t>Implementar y regular un Programa de Intercambio academico de estudiantes de grado entre las Partes</t>
  </si>
  <si>
    <t>17 de enero de 2019</t>
  </si>
  <si>
    <t>VRI-UNAH</t>
  </si>
  <si>
    <t>2019-02-INT</t>
  </si>
  <si>
    <t>Formación integral en las áreas vinculadas a la seguridad alimentaria con base a las necesidades que requieren los procesos complejos de transformación de la sociedad.</t>
  </si>
  <si>
    <t>Centro Universitario Regional del Centro</t>
  </si>
  <si>
    <t>20 de febrero 2019</t>
  </si>
  <si>
    <t>Hasta que se suscriba un convenio</t>
  </si>
  <si>
    <t>UNAH: Ing. Elvis Cruz Coordinador de la Maestría en Seguridad Alimentaria y Nutricional, elvis.cruz@unah.edu.hn FAO: Wendy Carranza</t>
  </si>
  <si>
    <t>FICHA 2019-02-INT</t>
  </si>
  <si>
    <t>2019-03-INT</t>
  </si>
  <si>
    <t>Instituto Centroamericano de Administracion Publica (ICAP)</t>
  </si>
  <si>
    <t>Desarrollo de la carrera de la Maestría en Gerencia de la Calidad</t>
  </si>
  <si>
    <t>Facultad de Ciencias Económicas</t>
  </si>
  <si>
    <t>5 de marzo 2019</t>
  </si>
  <si>
    <t>Hasta que se concluya la segunda promocion</t>
  </si>
  <si>
    <t>Iniciativa de la Facultad de Ciencias Economicas</t>
  </si>
  <si>
    <t>UNAH: Dr. Leonel Avíla, M.Sc. Karla San Martín Cerrato, Luis Duarte, POSFACE</t>
  </si>
  <si>
    <t>FICHA 2019-03-INT</t>
  </si>
  <si>
    <t>2019-04-INT</t>
  </si>
  <si>
    <t xml:space="preserve">Desarrollo de la Maestría en Gestión y Política Pública </t>
  </si>
  <si>
    <t>FICHA 2019-04-INT</t>
  </si>
  <si>
    <t>2019-05-FR</t>
  </si>
  <si>
    <t>Consejo de Educación Superior (CES), Conferencia de Presidentes de Universidad (Conférence des Présidents D'Université) (CPU), Conferencia de Directores de las Escuelas Francesas de Ingenieros (Conférence des Directeurs des Écoles Francaises d'Ingénieurs) (CDEFI)</t>
  </si>
  <si>
    <t>Reconocimiento de estudios entre Honduras y Francia.</t>
  </si>
  <si>
    <t>Dirección de Educación Superior</t>
  </si>
  <si>
    <t>1 de marzo 2019</t>
  </si>
  <si>
    <t>UNAH no es parte suscriptora de este convenio, sino que el Consejo de Educación Superior (CES). Se incluye en la base de datos por el papel fundamental de la UNAH en el CES y por la importancia del convenio para la universidad.</t>
  </si>
  <si>
    <t>2019-06-US</t>
  </si>
  <si>
    <t>DAI GLOBAL, LLC</t>
  </si>
  <si>
    <t>Formación y Capacitación, Gestión de Conocimiento; Realización de acciones conjuntas con terceros.</t>
  </si>
  <si>
    <t>UNAH-VALLE DE SULA</t>
  </si>
  <si>
    <t>14 de marzo 2019</t>
  </si>
  <si>
    <t>2  años y medio</t>
  </si>
  <si>
    <t>Potenciar el desarrollo social economico de las naciones a que pertenecen las ppartes, fomentando y promoviendo la mejora de la educación superior en beneficio de la sociedad.</t>
  </si>
  <si>
    <t>UNAH: Claudia Lardizábal, claudia_lardizabal@unah.edu.hn</t>
  </si>
  <si>
    <t>FICHA 2019-06-US</t>
  </si>
  <si>
    <t>2019-07-CO</t>
  </si>
  <si>
    <t>Universidad del CAUCA (UNICAUCA)</t>
  </si>
  <si>
    <t>Cooperación general.</t>
  </si>
  <si>
    <t>Facultad de Ciencias/Escuela de Biología</t>
  </si>
  <si>
    <t>20 de marzo 2019</t>
  </si>
  <si>
    <t>Establecer líneas principales de mutua cooperación, para la realización de actividades de formación, que sean acordadas entre las partes, de interés recíproco, propias de sus objetivos y funciones, con miras al logro de sus fines y el aprovechamiento racional de sus recursos.</t>
  </si>
  <si>
    <t>Dr. Nabil Kawas</t>
  </si>
  <si>
    <t>FICHA 2019-07-CO</t>
  </si>
  <si>
    <t>2019-08-C0</t>
  </si>
  <si>
    <t>2019-08-CO</t>
  </si>
  <si>
    <t>Movilidad de Docentes y estudiantes de Postgrado en el área de Ciencias Biológicas</t>
  </si>
  <si>
    <t xml:space="preserve">El presente programa de movilidad se basa en el reconocimiento academico pleno y en la exención de tasas de matrícula en la universidad de destino para el area de las ciencias biologicas </t>
  </si>
  <si>
    <t>FICHA 2019-08-CO</t>
  </si>
  <si>
    <t>2019-09-VAR</t>
  </si>
  <si>
    <t>Realizar anualmente Talleres de Capacitación para la Enseñanza de la Astronomía, dirigidos a docentes del nivel básico y medio que laboran en escuelas e institutos de diferentes Departamentos y regiones de Honduras.</t>
  </si>
  <si>
    <t>26 de febrero  2019</t>
  </si>
  <si>
    <t>Realizar anualmente Talleres de Capacitación para la Enseñanza de la Astronomía</t>
  </si>
  <si>
    <t>Lic. Ricardo Pastrana Tel No.9967-4732</t>
  </si>
  <si>
    <t>FICHA 2019-09-VAR</t>
  </si>
  <si>
    <t>2019-10-ES</t>
  </si>
  <si>
    <t>Fundación General de la Universidad de Salamanca (FGUSAL)</t>
  </si>
  <si>
    <t>Fortalecimiento y Modernización Operativa del Nuevo Comedor Universitario Edificio 1847</t>
  </si>
  <si>
    <t>Secretaría Ejecutiva de Desarrollo Institucional SEDI</t>
  </si>
  <si>
    <t>12 de marzo 2019</t>
  </si>
  <si>
    <t>Lic. Armando Sarmiento</t>
  </si>
  <si>
    <t>2019-11-VAR</t>
  </si>
  <si>
    <t>Proyecto de Gestión de los Recursos Naturales con Enfoque a la Adaptación al Cambio Climático (PROCAMBIO) de la Cooperación Internacional Alemana (Deutsche Gesellschaft für Internationale Zusammenarbeit GmbH) (GIZ), Secretaría de Agricultura y Ganadería (SAG), Secretaría de Energía, Recursos Naturales, Ambiente y minas (Mi Ambiente), Instituto Nacional de Conservación y Desarrollo Forestal (ICF)</t>
  </si>
  <si>
    <t>Potenciar mutuamente la formación y capacitación del talento humano de docentes y estudiantes de la UNAH-CUROC, como técnicos, socios y contrapartes de PROCAMBIO y la ciudadanía en general.</t>
  </si>
  <si>
    <t>Centro Universitario Regional de Occidente (CUROC).</t>
  </si>
  <si>
    <t>20 de mayo 2019</t>
  </si>
  <si>
    <t>Hasta la suscripción del Convenio</t>
  </si>
  <si>
    <t>Movilidad e Intercambio de personal docente, administrativo, técnico y estudioantes. Simposios, conferencias, cursos, diplomados, seminario y actividades de caractery cultural. Desarrollo conjunto de proyectos de vinculación universidad - sociedad.</t>
  </si>
  <si>
    <t>UNAH: Msc. Kevin Javier Estévez Ramírez</t>
  </si>
  <si>
    <t>FICHA 2019-11-VAR</t>
  </si>
  <si>
    <t>2019-12-MX</t>
  </si>
  <si>
    <t xml:space="preserve">Institución Educativa </t>
  </si>
  <si>
    <t>Promoción de la  movilidad de alumnos, docentes y administrativos para la especializacion de sus conocimientos y competencias profesionales.</t>
  </si>
  <si>
    <t>Vicerrectoría Academica</t>
  </si>
  <si>
    <t>3 de junio 2019</t>
  </si>
  <si>
    <t>Intercambio de la calidad y competitividad cademica de ambas instituciones, a través del intercambio de conocimientos, experiencias, modelos, metodologías, procedimientod buenas practicas, casos de éxito y todo aquel mecanismo de mejora continua</t>
  </si>
  <si>
    <t>Lic. Leda López</t>
  </si>
  <si>
    <t>2019-13-NL</t>
  </si>
  <si>
    <t>Fundación Stichting de Waal (FDW)</t>
  </si>
  <si>
    <t>Países Bajos</t>
  </si>
  <si>
    <t xml:space="preserve">Carta de Cooperación </t>
  </si>
  <si>
    <t>Establecer relaciones de cooperación y asistencia técnica entre la UNAH a traves de la Facultad de Ciencias Médicas-Unidad de Investigación Cientifica con el fin de desarrollar el Diplomado "Prevencion de Enfermedades y Deficiencias" para prfesionales universitarios de todo el país</t>
  </si>
  <si>
    <t>Proveer al personal especializado para el desarrollo del curso, la minotoria y ev aluacion de los participantes; desarrollar la metodología en apego al cumplimiento de objetivos y dotar a cada participantee el material del curso que ofrezca</t>
  </si>
  <si>
    <t>Msp. Perla Simons Morales/Jefa dee la Unidad de Investigación Cientifica.</t>
  </si>
  <si>
    <t>FICHA 2019-13-NL</t>
  </si>
  <si>
    <t>2019-14-MX</t>
  </si>
  <si>
    <t>Universidad Autónoma Metropolitana de México (UAM)</t>
  </si>
  <si>
    <t>Cooperación General.</t>
  </si>
  <si>
    <t>10 de junio 2019</t>
  </si>
  <si>
    <t>Promover la colaboración academica, tanto a nivel del profesorado como a nivel del alumno graduado y no graduado, en lo que respecta a los estudios e investigación.</t>
  </si>
  <si>
    <t>Máster Isbela Orellana Ramírez</t>
  </si>
  <si>
    <t>2019-15-MX</t>
  </si>
  <si>
    <t>Intercambio de estudiantes.</t>
  </si>
  <si>
    <t>22 de julio 2019</t>
  </si>
  <si>
    <t>2019-16-PA</t>
  </si>
  <si>
    <t>2019-17-VAR</t>
  </si>
  <si>
    <t>Red Latinoamericana de Investigación y Transferencia de Estudios y Prácticas Sociales de Género, Universidad de Cádiz (UCA), Universidad San Carlos de Guatemala (USAC)</t>
  </si>
  <si>
    <t>Adhesión de la UNAH a la Red Latinoamericana de Investigación y Transferencia de Estudios y Prácticas Sociales de Género.</t>
  </si>
  <si>
    <t>Archivo incluye texto del convenio de creación de la Red.</t>
  </si>
  <si>
    <t>UNAH: Karla Aguilar; karla.aguilar@unah.edu.hn</t>
  </si>
  <si>
    <t>FICHA 2019-17-VAR</t>
  </si>
  <si>
    <t>2019-18-ES</t>
  </si>
  <si>
    <t>Universidad Loyola Andalucía</t>
  </si>
  <si>
    <t>Potenciar el desarrollo social y economico de las naciones a que pertenecen las Partes, fomentando y promoviendo la mejora de la educacion superior en beneficio de la sociedad.</t>
  </si>
  <si>
    <t>19 de agosto 2019</t>
  </si>
  <si>
    <t xml:space="preserve">La implementación de toda actividad acordada dependerá de la disponibilidad de fondos, personal, espacio, instalaciones, equipo y demás recursos de las Partes. </t>
  </si>
  <si>
    <t>Dr. Pedro Quiel</t>
  </si>
  <si>
    <t>FICHA 2019-18-ES</t>
  </si>
  <si>
    <t>2019-19-ES</t>
  </si>
  <si>
    <t>Universidad Politécnica de Cartagena (UPCT)</t>
  </si>
  <si>
    <t>Intercambio de docentes e investigadores, Intercambio de alumnos, Direccion cientifica común en trabajos de tesis (co-tutela de tesis), Elaboración y participación en programas de formación conjunta.</t>
  </si>
  <si>
    <t>Facultad de Ciencias Economicas, Administrativas y Contables</t>
  </si>
  <si>
    <t>16 de agosto 2019</t>
  </si>
  <si>
    <t>El presente convenio consiste en establecer las bases generales para el desarrollo de actividades academicas, cientificas y culturales de interés para ambas instituciones.</t>
  </si>
  <si>
    <t>UNAH: Decano FCEAC, Msc. Oscar Arquímedes Zelaya</t>
  </si>
  <si>
    <t>2019-20-BR</t>
  </si>
  <si>
    <t>Pontificia Universidad Católica de Río de Janeiro (Pontifícia Universidade Católica do Rio de Janeiro) (PUC-Rio)</t>
  </si>
  <si>
    <t>Proporcionar a los estudiantes universitarios y de posgrado, un alto nivel de enseñanza, ampliando asi el campo para el desarrollo de investigaciones cientificas y tecnologicas</t>
  </si>
  <si>
    <t>05 de agosto 2019</t>
  </si>
  <si>
    <t>Documento en español solamente.</t>
  </si>
  <si>
    <t>Ing. Eduardo Joaquín Gross</t>
  </si>
  <si>
    <t>2019-21-VAR</t>
  </si>
  <si>
    <t xml:space="preserve">Universidad Contemporánea Mondragón S.C,  Consejo Mundial de Cooperativas de Ahorro y Crédito Latinoamérica (World Council of Credit Unions) (WOCCU-Latinoamérica) </t>
  </si>
  <si>
    <t>Potenciar el desarrollo social y economico de las naciones a que pertenecen las  partes, fomentando y promoviendo la mejora de la educación superior en beneficio de la sociedad.</t>
  </si>
  <si>
    <t>Dotar a ambas Partes con un marco dentro del cual puedan asociar sus esfuerzos en la academia, investigación y vinculación con la sociedad, permitiendo la suscripción de instrumentos específicos adicionales mediante los cuales se puedan concretar actividades de desarrollo conjunto.</t>
  </si>
  <si>
    <t>UNAH: Departamento de Banca y Finanzas, Nancy Ochoa, nancy.ochoa@unah.edu.hn 
Woccu Latam y Honduras, Luis Jara, ljara@wocculatam.com
Rafael Tejeda, rtejeda@wocculatam.com</t>
  </si>
  <si>
    <t>FICHA 2019-21-VAR</t>
  </si>
  <si>
    <t>2019-22-US</t>
  </si>
  <si>
    <t>Fundación para la Vivienda Cooperativa (The Cooperative Housing Foundation) (CHF Internacional)</t>
  </si>
  <si>
    <t>Interés de unir esfuerzos en pro del desarrollo y mantenimiento de una microcuenca demostrativa, La Chorrera, Municipio de Erandique Departamento de Lempira Honduras, hacer uso de la indicada microcuenca como un laboratorio vivo en apoyo a la educación de jóbvenes haciendo investigaciones prácticas y cientificas que contribuyan a la toma de decisiones sobre administración de sistemas de agua, la priorización de inversiones en protección, restauración de zonas de capacitación hídrica y apoyar la gobernanza.</t>
  </si>
  <si>
    <t>Centro Regional Universitario de occidente (UNAH-CUROC)</t>
  </si>
  <si>
    <t>2  años</t>
  </si>
  <si>
    <t>El desarrollo de dichos objetivos será de beneficio de las juntas de agua/empresa municipal de agua, comunidades y municipios presentes en el área de influencia.  Esta iniciativa conjunta se enmarca en la estrategia de implementación del componente Manejo y Conservación de Microcuencas ACS-USAID.</t>
  </si>
  <si>
    <t xml:space="preserve">Dr. Pedro Quiel </t>
  </si>
  <si>
    <t>FICHA 2019-22-US</t>
  </si>
  <si>
    <t>2019-23-MX</t>
  </si>
  <si>
    <t>Centro de Estudios Mexicanos y Centroamericanos (CEMCA)</t>
  </si>
  <si>
    <t>9 de septiembre 2019</t>
  </si>
  <si>
    <t xml:space="preserve">UNAH: Decana FCCSS Carmen Fajardo; carmen.fajardo@unah.edu.hn 
CEMCA: Odette Paz; secretaria.ac@cemca.org.mx; Claudine Chamoreaun - claudine.chamoreau@cemca.org.mx </t>
  </si>
  <si>
    <t>FICHA 2019-23-MX</t>
  </si>
  <si>
    <t>2019-24-KR</t>
  </si>
  <si>
    <t>2 de octubre 2019</t>
  </si>
  <si>
    <t>UNAH: Alejandra Martínez</t>
  </si>
  <si>
    <t>2019-25-US</t>
  </si>
  <si>
    <t>Catholic Relief Services (CRS)</t>
  </si>
  <si>
    <t>FICHA 2019-25-US</t>
  </si>
  <si>
    <t>2019-26-ES</t>
  </si>
  <si>
    <t>Telefónica Educación Digital, S.L.U. (TED)</t>
  </si>
  <si>
    <t>Implementación de plataforma de cursos en línea MIRIADAX</t>
  </si>
  <si>
    <t>7 de octubre 2019</t>
  </si>
  <si>
    <t xml:space="preserve">UNAH: Ing. Marcos Zúniga, marcos.zuniga@unah.edu.hn
Ing. José Luis Reyes, joseluis@unah.edu.hn </t>
  </si>
  <si>
    <t>FICHA 2019-26-ES</t>
  </si>
  <si>
    <t>2019-27-ES</t>
  </si>
  <si>
    <t>Cooperación para otorgamiento de becas de posgrado y reconocimiento de estudios en el extranjero</t>
  </si>
  <si>
    <t>Documento se titula "Convenio Marco", pero el contenido es propio de uno específico.</t>
  </si>
  <si>
    <t>UNAH: Lourdes Murcia (Dirección de Educación Superior); Suyapa Andino (Instituto de Profesionalización y Superación Docente)</t>
  </si>
  <si>
    <t>2019-28-ES</t>
  </si>
  <si>
    <t>Glifing, S.L.</t>
  </si>
  <si>
    <t>Implementación de plataforma de aprendizaje Glifing</t>
  </si>
  <si>
    <t>1 de octubre 2019</t>
  </si>
  <si>
    <t>FICHA 2019-28-ES</t>
  </si>
  <si>
    <t>2019-29-ES</t>
  </si>
  <si>
    <t>2019-30-ES</t>
  </si>
  <si>
    <t>Instituto Superior de Estudios Psicológicos, S.L. (ISEP)</t>
  </si>
  <si>
    <t>2 de diciembre 2019</t>
  </si>
  <si>
    <t>FICHA 2019-30-ES</t>
  </si>
  <si>
    <t>2019-31-US</t>
  </si>
  <si>
    <t>26 de noviembre 2019</t>
  </si>
  <si>
    <t>FICHA 2019-31-US</t>
  </si>
  <si>
    <t>2019-32-CO</t>
  </si>
  <si>
    <t>Universidad Nacional de Colombia</t>
  </si>
  <si>
    <t>28 de noviembre 2019</t>
  </si>
  <si>
    <t>2019-33-CO</t>
  </si>
  <si>
    <t>VRI-DMI, CURLA</t>
  </si>
  <si>
    <t>FICHA 2019-33-CO</t>
  </si>
  <si>
    <t>2019-34-VAR</t>
  </si>
  <si>
    <t>Red Nacional de Educación Superior Avanzada de Honduras (REDNESAH), Cooperación Latino Americana de Redes Avanzadas (CLARA)</t>
  </si>
  <si>
    <t>Adhesión de REDNESAH (presidida por la UNAH) a CLARA.</t>
  </si>
  <si>
    <t>1 de diciembre 2019</t>
  </si>
  <si>
    <t>Hasta 30 de noviembre de 2020</t>
  </si>
  <si>
    <t>DES, DEGT</t>
  </si>
  <si>
    <t>FICHA 2019-34-VAR</t>
  </si>
  <si>
    <t>2019-35-US</t>
  </si>
  <si>
    <t>Universidad de California, Los Ángeles (University of California, Los Angeles) (UCLA)</t>
  </si>
  <si>
    <t>16 de diciembre 2019</t>
  </si>
  <si>
    <t>Falta versión en español.</t>
  </si>
  <si>
    <t>2019-36-BR</t>
  </si>
  <si>
    <t>Grupo Coimbra de Universidades Brasileñas (Grupo de Cooperação Internacional de Universidades Brasileiras) (GCUB)</t>
  </si>
  <si>
    <t>29 de octubre 2019</t>
  </si>
  <si>
    <t>Falta versión en portugués.</t>
  </si>
  <si>
    <t>2019-37-US</t>
  </si>
  <si>
    <t>Global Land Alliance (GLA)</t>
  </si>
  <si>
    <t>Establecer los lineamientos generales de mutua cooperación entre GLA y el Observatorio Universitario de Ordenamiento Territorial (OUOT) de la Facultad de Ciencias Espaciales de la UNAH.</t>
  </si>
  <si>
    <t>Dado que la contraparte es estadounidense y usa un formato de fecha distinto, la indicación de "05/03/2019" en el convenio es ambigua en cuanto a la fecha exacta.</t>
  </si>
  <si>
    <t>GLA: Dr. Malcolm Childress, Director Ejecutivo: mchildress1@landallianceinc.org UNAH: José David Cáceres Coello, Observatorio Universitario de Ordenamiento Territorial: jcaceres@unah.edu.hn</t>
  </si>
  <si>
    <t>FICHA 2019-37-US</t>
  </si>
  <si>
    <t>2019-38-MX</t>
  </si>
  <si>
    <t>Impartir el programa autogestivo en línea de Trayectorias Docentes Personalizadas, con una duración de 280 horas, repartidas en 3 módulos para fortalecer la práctica docente investigadora a 110 participantes de la UNAH.</t>
  </si>
  <si>
    <t>DSEP</t>
  </si>
  <si>
    <t>11 de octubre 2019</t>
  </si>
  <si>
    <t>Hasta 28 de febrero de 2020</t>
  </si>
  <si>
    <t>Fecha de caducidad indicada de 28/FEB/2019 es anterior a la fecha de firma, posiblemente la fecha correcta de terminación es febrero de 2020.</t>
  </si>
  <si>
    <t>UNAH: Iving Zelaya, DSEP, iving.zelaya@unah.edu.hn</t>
  </si>
  <si>
    <t>2019-39-IT</t>
  </si>
  <si>
    <t>Universidad de Florencia (Università degli Studi di Firenze) (UNIFI)</t>
  </si>
  <si>
    <t>Cooperación general y movilidad académica.</t>
  </si>
  <si>
    <t>7 años</t>
  </si>
  <si>
    <t xml:space="preserve">UNAH: Evangelina Trejo, CURLA
UNIFI: Edgardo Giordani, edgardo.giordani@unifi.it  </t>
  </si>
  <si>
    <t>FICHA 2019-39-IT</t>
  </si>
  <si>
    <t>2019-40-DE</t>
  </si>
  <si>
    <t>Desarrollo de Diplomado "Economía Social de Mercado con Rostro Humano".</t>
  </si>
  <si>
    <t>DICIHT</t>
  </si>
  <si>
    <t>1 de noviembre 2019</t>
  </si>
  <si>
    <t>Hasta concluir diplomado</t>
  </si>
  <si>
    <t>2019-41-AR</t>
  </si>
  <si>
    <t>Consejo Interuniversitario Nacional (CIN)</t>
  </si>
  <si>
    <t>28 de octubre 2019</t>
  </si>
  <si>
    <t>No consta en convenio la fecha de firma de la contraparte.</t>
  </si>
  <si>
    <t>2020-01-MX</t>
  </si>
  <si>
    <t>Permitir a la UNAH el uso de la aplicación informática "Sistema de Votaciones Electrónicas" desarrollada por la UNAM, para efectuar procesos electorales universitarios.</t>
  </si>
  <si>
    <t>13 de enero 2020</t>
  </si>
  <si>
    <t>Hasta 30 de julio de 2020.</t>
  </si>
  <si>
    <t>2020-02-ES</t>
  </si>
  <si>
    <t>Agencia Española de Cooperación Internacional para el Desarrollo (AECID) por medio del Centro Cultural de España en Tegucigalpa (CCET)</t>
  </si>
  <si>
    <t>23 de enero 2020</t>
  </si>
  <si>
    <t>2020-03-MX</t>
  </si>
  <si>
    <t>Universidad Tecnológica de Izúcar de Matamoros (UTIM)</t>
  </si>
  <si>
    <t>24 de enero 2020</t>
  </si>
  <si>
    <t>UNAH: Unidad de Gestión de Investigación de Facultad de Química y Farmacia, Viena Medrano Mendoza; viena.mendoza@unah.edu.hn
UTIM: Dr. Amado Enrique Navarro navarro4899@gmail.com</t>
  </si>
  <si>
    <t>FICHA 2020-03-MX</t>
  </si>
  <si>
    <t>2020-04-ES</t>
  </si>
  <si>
    <t>Intercambio de personal</t>
  </si>
  <si>
    <t>10 de febrero 2020</t>
  </si>
  <si>
    <t>José Ramón Angueira Vez, encargado de convenios; email: JOSERAMON.ANGUEIRA@usc.es</t>
  </si>
  <si>
    <t>2020-05-CU</t>
  </si>
  <si>
    <t>Instituto Superior Minero Metalúrgico de Moa "Dr. Antonio Núñez Jiménez" (ISMMM/UMoa)</t>
  </si>
  <si>
    <t>Nueva edición del convenio anterior 2014-23-CU. No se consigna fecha de firma de contraparte. UNAH firmó a finales del 2019. Contraparte ahora utiliza abreviación"UMoa" en adición a "ISMMM".</t>
  </si>
  <si>
    <t>Josefa Mestre Lamorú, Relaciones Internacionales;  email: jmestrecu@yahoo.es</t>
  </si>
  <si>
    <t>2020-06-BR</t>
  </si>
  <si>
    <t>Organización Manos Sin Fronteras (Mãos Sem Fronteras) (MSF)</t>
  </si>
  <si>
    <t>26 de febrero 2020</t>
  </si>
  <si>
    <t>2020-07-INT</t>
  </si>
  <si>
    <t>Desarrollo de Maestría en Comunicación y Tecnologías Educativas</t>
  </si>
  <si>
    <t>2 de febrero 2020</t>
  </si>
  <si>
    <t>Hasta concluir segunda promoción</t>
  </si>
  <si>
    <t>FICHA 2020-07-INT</t>
  </si>
  <si>
    <t>2020-08-CO</t>
  </si>
  <si>
    <t>Universidad de Santander (UDES)</t>
  </si>
  <si>
    <t>18 de febrero 2020</t>
  </si>
  <si>
    <t>2020-09-VAR</t>
  </si>
  <si>
    <t>Programa Mujeres, Economía Local y Territorios (M.E.L.Y.T.) de ONU-Mujeres, Rimisp - Centro Latinoamericano para el Desarrollo Rural</t>
  </si>
  <si>
    <t>Cooperación para ejecución de programa "Mujeres, Economía Local y Territorios" (M.E.L.Y.T.)</t>
  </si>
  <si>
    <t>UNAH:  Lic. Aura Bonilla, aura.bonilla@unah.edu.hn</t>
  </si>
  <si>
    <t>FICHA 2020-09-VAR</t>
  </si>
  <si>
    <t>2020-10-MX</t>
  </si>
  <si>
    <t>Universidad Veracruzana (UV)</t>
  </si>
  <si>
    <t>5 de febrero 2020</t>
  </si>
  <si>
    <t>UNAH: Dra. Claudia Lardizábal; claudia_lardizabal@unah.edu.hn
UV: Vicencio Delgadillo Isidro; ivicencio@uv.mx</t>
  </si>
  <si>
    <t>2020-11-CR</t>
  </si>
  <si>
    <t>Intercambio docente y estudiantil</t>
  </si>
  <si>
    <t>17 de marzo 2020</t>
  </si>
  <si>
    <t>UNAH: Decana FHHAA Oneyda Mendoza</t>
  </si>
  <si>
    <t>2020-12-CR</t>
  </si>
  <si>
    <t>Fundación Centro de Estudios para la Paz (CEPPA)</t>
  </si>
  <si>
    <t>5 de marzo 2020</t>
  </si>
  <si>
    <t xml:space="preserve">UNAH: Dra. Fancesca Randazzo Intérprete Francés &lt;interprete.frances@gmail.com&gt; CEPPA:Celina Garcia &lt;celina@ceppacr.org&gt; </t>
  </si>
  <si>
    <t>2020-13-SV</t>
  </si>
  <si>
    <t>Facultad de Ciencias Médicas/Carrera de Terapia Funcional</t>
  </si>
  <si>
    <t>UNAH:Depto. de Rehabilitación Dra. Waleska Waldina Urrutia; waleska.urutia@unah.edu.hn y Lic. Ana Maria Chávez, coordinadora de carrera UNASA: Master Aura García &lt;ccsociales.decanato@unasa.edu.sv&gt;, . Mónica Luna de Acosta &lt;secretaria.general@unasa.edu.sv&gt;</t>
  </si>
  <si>
    <t>2020-14-ES</t>
  </si>
  <si>
    <t>Instituto Marítimo Español (IME)</t>
  </si>
  <si>
    <t>UNAH: Gloria Alvarado; mae.derechomaritimo@unah.edu.hn; +504 2216-5133 ext. 100881
IME:  Dr. Javier Rozas; jrozas@esesa.eu</t>
  </si>
  <si>
    <t>2020-15-TW</t>
  </si>
  <si>
    <t>Universidad I-Shou</t>
  </si>
  <si>
    <t>16 de marzo 2020</t>
  </si>
  <si>
    <t xml:space="preserve">UNAH: Decano FCM Jorge Valle; jorge_valle@unah.edu.hn; Mario Rush; marorush94@gmail.com 
ISU: Mark Lin; chienliang@isu.edu.tw </t>
  </si>
  <si>
    <t>FICHA 2020-15-TW</t>
  </si>
  <si>
    <t>2020-16-MX</t>
  </si>
  <si>
    <t>Universidad Autónoma de Durango (UAD)</t>
  </si>
  <si>
    <t>No se consigna fecha de firma.</t>
  </si>
  <si>
    <t>UNAH: Ekaterina Bonilla; ekaboni77@yahoo.es; Edgardo Tzoc; etzoc2000@yahoo.com
UAD: Dr. Javier Morán; javmoran@yahoo.com Tel.: (618) 129 5901 y (618) 299 9500</t>
  </si>
  <si>
    <t>2020-17-FR</t>
  </si>
  <si>
    <t>EPSOMED Américas, S.A.</t>
  </si>
  <si>
    <t>Desarrollo de programas de atención, promoción, capacitación y formación en salud de alto impacto en telemedicina y modelos sostenibles para el desarrollo de capacidades locales en salud en Honduras</t>
  </si>
  <si>
    <t>8 de febrero 2020</t>
  </si>
  <si>
    <t>Falta versión en inglés.</t>
  </si>
  <si>
    <t>UNAH: Decano FCM Jorge Valle; jorge_valle@unah.edu.hn
EPSOMED: Jérôme Robin (Director General) Tel: (+33) 695228663; jrobin@epsoam.com</t>
  </si>
  <si>
    <t>2020-18-ES</t>
  </si>
  <si>
    <t>Promoción de los Objetivos de Desarrollo Sostenible (ODS).</t>
  </si>
  <si>
    <t>30 de enero 2020</t>
  </si>
  <si>
    <t>UNAH: Marlon Andres Sanchez &lt;marlon.sanchez@unah.edu.hn&gt;, Sevilla: Santiago González tecnicooperacion@us.es, Alberto Romero alromero@us.es</t>
  </si>
  <si>
    <t>2020-19-TR</t>
  </si>
  <si>
    <t>Universidad de Biruni</t>
  </si>
  <si>
    <t>Turquía</t>
  </si>
  <si>
    <t>UNAH: Laura Caunter, laura.caunter@unah.edu.hn
BIRUNI: erasmus@biruni.edu.tr</t>
  </si>
  <si>
    <t>FICHA 2020-19-TR</t>
  </si>
  <si>
    <t>2020-20-EC</t>
  </si>
  <si>
    <t>Universidad Andina Simón Bolívar, Sede Ecuador (UASB-E)</t>
  </si>
  <si>
    <t>28 de febrero 2020</t>
  </si>
  <si>
    <t>UNAH: VRI, vri@unah.edu.hn</t>
  </si>
  <si>
    <t>2020-21-CU</t>
  </si>
  <si>
    <t>Universidad de Oriente (UO)</t>
  </si>
  <si>
    <r>
      <t>UNAH: Lic. Marcela Garay &lt;marcela.garay@unah.edu.hn&gt;</t>
    </r>
    <r>
      <rPr>
        <sz val="10"/>
        <rFont val="Calibri"/>
      </rPr>
      <t xml:space="preserve">
</t>
    </r>
    <r>
      <rPr>
        <sz val="10"/>
        <rFont val="Calibri"/>
        <family val="2"/>
      </rPr>
      <t>UO: Dra.Ofelia Pérez Montero ,(ofeliapm2019@gmail.com ) &lt;ofelia@uo.edu.cu&gt;</t>
    </r>
  </si>
  <si>
    <t>2020-22-INT</t>
  </si>
  <si>
    <t>Contratación de IUDPAS para “Diseño y puesta en marcha de Observatorio de medios de comunicación sobre VCMN y Femicidios, que incidan en el abordaje y tratamiento de la información, con enfoque de derechos humanos e igualdad de género con interseccionalidad, y fortalecimiento de capacidades a generadores de opinión sobre tratamiento de la información con enfoque de género”.</t>
  </si>
  <si>
    <t>1 de diciembre 2020</t>
  </si>
  <si>
    <t>IUDPAS: Diosana Lagos, diosana.lagos@unah.edu.hn, CollegeBoard: Abg.Wendy Salgado</t>
  </si>
  <si>
    <t>2020-23-US</t>
  </si>
  <si>
    <t>College Board</t>
  </si>
  <si>
    <t>Cooperación para desarrollo de las PAA.</t>
  </si>
  <si>
    <t>9 de diciembre 2020</t>
  </si>
  <si>
    <t>Ing. Carlos Mauricio Ordoñez/Director del Sistema de Admision, carlos.ordonez@unah.edu.hn</t>
  </si>
  <si>
    <t>2021-01-ES</t>
  </si>
  <si>
    <t>Universidad de Valladolid (UVA), Programa Erasmus+</t>
  </si>
  <si>
    <t>Movilidad entre UVA y UNAH bajo Programa Erasmus+.</t>
  </si>
  <si>
    <t>27 de enero 2021</t>
  </si>
  <si>
    <t>Hasta final de 2023</t>
  </si>
  <si>
    <t>UNAH: Laura Caunter</t>
  </si>
  <si>
    <t>2021-02-ES</t>
  </si>
  <si>
    <t>Universidad de Córdoba (UCO), Programa Erasmus+</t>
  </si>
  <si>
    <t>Movilidad entre UCO y UNAH bajo Programa Erasmus+.</t>
  </si>
  <si>
    <t>8 de febrero 2021</t>
  </si>
  <si>
    <t>2021-03-VAR</t>
  </si>
  <si>
    <t>University of Southampton, University of York, Universidade Federal do Maranhão, Universidad de Los Andes, Fundação Oswaldo Cruz (Fioruz), Associação Brasileira de Saúde Coletiva (ABRASCO)</t>
  </si>
  <si>
    <t>Ejecución de proyecto "Redressing Gendered Health Inequalities of Displaced Women and Girls in Contexts of Protracted Crisis in Central and South America" (ReGHID) con fondos del Economic Social and Research Council (ESRC).</t>
  </si>
  <si>
    <t>Cancelado antes de su terminación a petición de la U. de Southampton.</t>
  </si>
  <si>
    <t>FLACSO: Dr. Rolando Sierra, rolando.sierra@unah.edu.hn&gt;</t>
  </si>
  <si>
    <t>2021-04-ES</t>
  </si>
  <si>
    <t>Universidad de Granada (UGR), Programa Erasmus+</t>
  </si>
  <si>
    <t>Movilidad entre UGR y UNAH bajo Programa Erasmus+.</t>
  </si>
  <si>
    <t>25 de febrero 2021</t>
  </si>
  <si>
    <t xml:space="preserve">UNAH: Laura Caunter, laura.caunter@unah.edu.hn
UGR: Esther Santiago
intldimension@ugr.es </t>
  </si>
  <si>
    <t>2021-05-ES</t>
  </si>
  <si>
    <t>Universidad Pública de Navarra (Nafarroako Uniberstsitate Publikoa) (UPNA)</t>
  </si>
  <si>
    <t>12 de febrero 2021</t>
  </si>
  <si>
    <t>UNAH: Lic. Lina María Mendoza,  &lt;lina.mendoza@unah.edu.hn&gt; UPNA: Dr. Diego Rivera, diego.rivera@unavarra.es</t>
  </si>
  <si>
    <t>2021-06-ES</t>
  </si>
  <si>
    <t>Intercambio estudiantil.</t>
  </si>
  <si>
    <t>2021-07-MX</t>
  </si>
  <si>
    <t>Universidad Politécnica de Zacatecas (UPZ)</t>
  </si>
  <si>
    <t>12 de mayo 2021</t>
  </si>
  <si>
    <t xml:space="preserve">Lic. Miriam Sarahi Ramírez Portillo miriam_portillo@unah.edu.hn ,  Comayagua.                                                Lic. Ana Luz Alejandra Devora Bonilla &lt;adevora@upz.edu.mx&gt; </t>
  </si>
  <si>
    <t>FICHA 2021-07-MX</t>
  </si>
  <si>
    <t>2021-08-ES</t>
  </si>
  <si>
    <t>Instituto Tecnológico Superior de Tela ITST-UNAH, DICIHT</t>
  </si>
  <si>
    <t>16 de diciembre 2021</t>
  </si>
  <si>
    <t>UNAH: Dr. Santiago Ruiz, santiago.ruiz@unah.edu.hn 
Máster Gustavo Adolfo Rodríguez gustavo.rodriguez@unah.edu.hn 
Dra. Mirta M Ruano, mirta.macias@unah.edu.hn  
UCA: Prof. Dr. Pedro Arenas Granados pedro.arenas@uca.es
Prof. Dr. Francisco Piniella francisco.piniella@uca.es</t>
  </si>
  <si>
    <t>FICHA 2021-08-ES</t>
  </si>
  <si>
    <t>2021-09-IE</t>
  </si>
  <si>
    <t>Asociación GOAL Internacional</t>
  </si>
  <si>
    <t>Irlanda</t>
  </si>
  <si>
    <t>Apoyo al proyecto "Barrio Resiliente: Construyendo Ciudades Resilientes a través de Barrios Resilientes" para la reducción de riesgos ante desastres urbanos en Tegucigalpa con fondos de USAID.</t>
  </si>
  <si>
    <t>5 de agosto 2021</t>
  </si>
  <si>
    <t>Decana FACES, Vilma Lorena Ochoa, lorena.ochoa@unah.edu.hn
Jefe DCTIG Eduardo Moreno Segura, eduardo.moreno@unah.edu.hn
Coordinadora Unidad de Vinculación DCTIG, Johana Marcela Norori, johana.norori@unah.edu.hn
Coordinadora TUSIGC, Yessica Yamileth Sosa, yessica.sosa@unah.edu.hn
Coordinador OUOT, José David Cáceres, jcaceres@unah.edu.hn
Docente DCTIG, Claudia Natali Mondragón, claudia.mondragon@unah.edu.hn</t>
  </si>
  <si>
    <t>FICHA 2021-09-IE</t>
  </si>
  <si>
    <t>2021-10-US</t>
  </si>
  <si>
    <t>25 de agosto 2021</t>
  </si>
  <si>
    <t>UNAH-Vs: Lic. Juan José Velasquez, juan.velasquez@unah.edu.hn Visión Mundial: Oscar Paz &lt;oscar_paz@wvi.org</t>
  </si>
  <si>
    <t>2021-11-CO</t>
  </si>
  <si>
    <t>Corporación Universitaria Minuto de Dios (UNIMINUTO)</t>
  </si>
  <si>
    <t>12 de noviembre 2021</t>
  </si>
  <si>
    <t>UNAH: Lic. Miriam Sarahi Ramirez miriam_portillo@unah.edu.hn,ANA LUISA FONSECA TEJADA &lt;ana.fonseca@unah.edu.hn&gt;, UNIMINUTO:DORIS MARGARITA BERMUDEZ MURILLO &lt;doris.bermudez@uniminuto.edu&gt;STEPHANIE LAVAUX &lt;stephanie.lavaux@uniminuto.edu&gt;</t>
  </si>
  <si>
    <t>2021-12-MX</t>
  </si>
  <si>
    <t>Desarrollo del XII Congreso Latinoamericano de Investigación para la Paz (CLAIP) del 3 al 7 de agosto del 2021</t>
  </si>
  <si>
    <t>18 de marzo del 2021</t>
  </si>
  <si>
    <t>Hasta conclusión de evento</t>
  </si>
  <si>
    <t xml:space="preserve">UNAH: Dr. Esteban Ramos (IUDPAS); estebanramos@unah.edu.hn
UNAM: Dra. Úrsula Oswald Spring; uoswald@gmail.com </t>
  </si>
  <si>
    <t>FICHA 2021-12-MX</t>
  </si>
  <si>
    <t>2021-13-ES</t>
  </si>
  <si>
    <t>29 de abril 2021</t>
  </si>
  <si>
    <t>2021-14-ES</t>
  </si>
  <si>
    <t>Universidad de Cádiz (UCA), Programa Erasmus+</t>
  </si>
  <si>
    <t>Movilidad entre UCA y UNAH bajo Programa Erasmus+.</t>
  </si>
  <si>
    <t>30 de abril 2021</t>
  </si>
  <si>
    <t>Hasta final de 2027</t>
  </si>
  <si>
    <t>UNAH: Laura Caunter, laura.caunter@unah.edu.hn
UCA: Maryia Maiseyenka
gestion.ka107@gm.uca.es</t>
  </si>
  <si>
    <t>2021-15-ES</t>
  </si>
  <si>
    <t>Universidad de Almería (UAL)</t>
  </si>
  <si>
    <t>18 de marzo 2021</t>
  </si>
  <si>
    <t>UNAH: Lic. Gustavo Enrique Suazo,gustavo.suazo@unah.edu.hn ALMERIA:Israel Rodríguez Gracia &lt;israel@ual.es&gt;Director: Hugo González Martínez promint@ual.es</t>
  </si>
  <si>
    <t>2021-16-VAR</t>
  </si>
  <si>
    <t>Parlamento Centroamericano (PARLACEN), Corte Centroamericana de Justicia (CCJ)</t>
  </si>
  <si>
    <t>25 de junio 2021</t>
  </si>
  <si>
    <t>2021-17-PL</t>
  </si>
  <si>
    <t>Universidad Politécnica de Silesia (Politechnika Śląska) (SUT/POLSL), Programa Erasmus+</t>
  </si>
  <si>
    <t>Movilidad entre SUT y UNAH bajo Programa Erasmus+.</t>
  </si>
  <si>
    <t>27 de julio 2021</t>
  </si>
  <si>
    <t>UNAH: Laura Caunter, laura.caunter@unah.edu.hn
SUT: Kamila Tokarczyk
mobility@polsl.pl</t>
  </si>
  <si>
    <t>2021-18-PL</t>
  </si>
  <si>
    <t>Universidad Politécnica de Lodz (Politechnika Łódzka), Programa Erasmus+</t>
  </si>
  <si>
    <t>Movilidad entre U. Politécnica de Lodz y UNAH bajo Programa Erasmus+.</t>
  </si>
  <si>
    <t>4 de febrero 2021</t>
  </si>
  <si>
    <t>UNAH: Laura Caunter, laura.caunter@unah.edu.hn
U.P. de Lodz: Alexandra Szmurlik
aleksandra.szmurlik@p.lodz.pl</t>
  </si>
  <si>
    <t>2021-19-ES</t>
  </si>
  <si>
    <t>15 de septiembre 2021</t>
  </si>
  <si>
    <t>2021-20-MX</t>
  </si>
  <si>
    <t>Universidad de Sonora (UNISON)</t>
  </si>
  <si>
    <t>9 de abril 2021</t>
  </si>
  <si>
    <t>2021-21-MX</t>
  </si>
  <si>
    <t>Universidad de Ciencias y Artes de Chiapas (UNICACH)</t>
  </si>
  <si>
    <t>26 de agosto 2021</t>
  </si>
  <si>
    <r>
      <t>UNAH: Dra. Claudia Lardizabal, claudia_lardizabal@unah.edu.hn UNICACH:Darinel Perez Escobar  darinel.perez@unicach.mx</t>
    </r>
    <r>
      <rPr>
        <sz val="10"/>
        <rFont val="Calibri"/>
      </rPr>
      <t xml:space="preserve"> </t>
    </r>
  </si>
  <si>
    <t>FICHA 2021-21-MX</t>
  </si>
  <si>
    <t>2021-22-INT</t>
  </si>
  <si>
    <t>Secretaría de Integración Económica Centroamericana (SIECA)</t>
  </si>
  <si>
    <t>10 de febrero 2021</t>
  </si>
  <si>
    <t>UNAH:edwin.rodriguez@unah.edu.hn
SIECA: Raquel Salles rsalles@sieca.int, info@sieca.int</t>
  </si>
  <si>
    <t>2021-23-MX</t>
  </si>
  <si>
    <t>Universidad Internacional de la Rioja en México (UNIR)</t>
  </si>
  <si>
    <t>1 de enero 2021</t>
  </si>
  <si>
    <t>UNAH: Dr. Armando Euceda UNIR: Francisco Cervantes Pérez &lt;francisco.cervantesperez@unir.net&gt;</t>
  </si>
  <si>
    <t>2021-24-BR</t>
  </si>
  <si>
    <t>Universidad Estatal de Paraiba (Universidade Estadual da Paraíba) (UEPB)</t>
  </si>
  <si>
    <t>15 de julio 2022</t>
  </si>
  <si>
    <t>No se cuenta con versión en español firmada por ambas partes. No consta fecha de firma de la UNAH.</t>
  </si>
  <si>
    <t xml:space="preserve">UNAH: Dr. Esteban Ramos (IUDPAS); estebanramos@unah.edu.hn
</t>
  </si>
  <si>
    <t>2021-25-NI</t>
  </si>
  <si>
    <t>13 de octubre 2021</t>
  </si>
  <si>
    <t>UNAN-Managua: ori@unan.edu.ni, rpublicas@unan.edu.ni, Tel.: +505 2270 0042</t>
  </si>
  <si>
    <t>2021-26-HN</t>
  </si>
  <si>
    <t>Comisión Hondureña de Cooperación con la Organizaciónd de las Naciones Unidas para la Educación, la Ciencia y la Cultura (UNESCO)  (UNESCO-Honduras)</t>
  </si>
  <si>
    <t>Ejecución de Proyecto "Campaña de Comunicación a través de las Artes contra la violencia de género en el marco de la pandemia Covid-19".</t>
  </si>
  <si>
    <t>Centro de Arte y Cultura (CAC)</t>
  </si>
  <si>
    <t>30 de julio 2021</t>
  </si>
  <si>
    <t>9 meses</t>
  </si>
  <si>
    <t>UNESCO-Honduras es una comisión conformada por representantes de distintas entidades del gobierno hondureño, por lo que se clasifica como "HN" a pesar de tratar con UNESCO, una organización internacional.</t>
  </si>
  <si>
    <t>CAC-UNAH</t>
  </si>
  <si>
    <t>2021-27-CO</t>
  </si>
  <si>
    <t>Universidad Pedagógica Nacional (UPN)</t>
  </si>
  <si>
    <t>31 de agosto 2021</t>
  </si>
  <si>
    <t>UPN: ori@pedagogica.edu.co, doctorado@pedagogica.edu.co</t>
  </si>
  <si>
    <t>2021-28-ES</t>
  </si>
  <si>
    <t>Universidad Rey Juan Carlos (URJC), Programa Erasmus+</t>
  </si>
  <si>
    <t>Movilidad entre URJC y UNAH bajo Programa Erasmus+.</t>
  </si>
  <si>
    <t>UNAH: Laura Caunter, laura.caunter@unah.edu.hn
URJC: María Luisa Humanes, vice.relacionesinternacionales@urjc.es</t>
  </si>
  <si>
    <t>2021-29-VAR</t>
  </si>
  <si>
    <t>Secretaría de Salud, Secretaría de Derechos Humanos, Médicos del Mundo (MdM)</t>
  </si>
  <si>
    <t>Desarrollo de proyecto "Fortalecer el sistema público de salud ante COVID-19 en los departamentos de Francisco Morazán y Cortés, Honduras".</t>
  </si>
  <si>
    <t>10 de diciembre del 2021</t>
  </si>
  <si>
    <t>Hasta final de 2022</t>
  </si>
  <si>
    <t>2021-30-ES</t>
  </si>
  <si>
    <t>Definir el traspaso de tareas y responsabilidades de la adminsitración de la plataforma SIROS desarrollada por la UDC a la UNAH.</t>
  </si>
  <si>
    <t>FACES</t>
  </si>
  <si>
    <t>14 de junio del 2021</t>
  </si>
  <si>
    <t>2022-01-INT</t>
  </si>
  <si>
    <t>Academia Internacional Anticorrupción (International Anti-Corruption Academy) (IACA)</t>
  </si>
  <si>
    <t>23 de febrero 2022</t>
  </si>
  <si>
    <t>2022-02-UY</t>
  </si>
  <si>
    <t>Universidad de la República (UDELAR)</t>
  </si>
  <si>
    <t>Uruguay</t>
  </si>
  <si>
    <t>16 de marzo 2022</t>
  </si>
  <si>
    <t>UNAH: Master Ivannia Padilla, ivaniapadilla@unah.edu.hn UDELAR: Ana María Dalgalarrondo S.A.G.I.R.N.I  Facultad de Psicología/UdelaR - &lt;sagirni@psico.edu.uy&gt;</t>
  </si>
  <si>
    <t>2022-03-AR</t>
  </si>
  <si>
    <t>Fundacion Plurales</t>
  </si>
  <si>
    <t>Establecer lineamientos generales de mutua cooperacion con la Fundacion Plurales y el Observsatorio Universitario de Ordenamiento Territorial (OUOT) de la UNAH.</t>
  </si>
  <si>
    <t>22 de abril 2022</t>
  </si>
  <si>
    <t>Profesor Jose Caceres Coello 2216-6100 (100988) jcaceres@unah.edu.hn</t>
  </si>
  <si>
    <t>2022-04-VAR</t>
  </si>
  <si>
    <t>Fundación Ayuda en Accion Honduras (AeA), Comisión de Acción Social Menonita (CASM), Fundación de Acción Comunitaria en Honduras (FUNACH)</t>
  </si>
  <si>
    <t>Apoyo a comunidades indígenas y afrohondureñas en el área de acción del CURLA.</t>
  </si>
  <si>
    <t>10 de mayo 2022</t>
  </si>
  <si>
    <t>UNAH: Salustio Iscoa, Gloria Lorena Segura, Dalia Elizabeth Ham, UNAH-CURLA</t>
  </si>
  <si>
    <t>2022-05-NL</t>
  </si>
  <si>
    <t>Desarrollo de diplomado "Prevención de Enfermedades y Deficiencias".</t>
  </si>
  <si>
    <t>12 de mayo 2022</t>
  </si>
  <si>
    <t>UNAH: Lysien Zambrano, lysien.zambrano@unah.edu.hn</t>
  </si>
  <si>
    <t>2022-06-TW</t>
  </si>
  <si>
    <t>Embajada de la República de China Taiwán</t>
  </si>
  <si>
    <t>Desarrollo de clases de chino mandarín.</t>
  </si>
  <si>
    <t>26 de abril 2022</t>
  </si>
  <si>
    <t>Hasta 31 de diciembre del 2023</t>
  </si>
  <si>
    <t>Embajada de Taiwán: Tony Hou, +504 9438-2711</t>
  </si>
  <si>
    <t>2022-07-ES</t>
  </si>
  <si>
    <t>Desarrollo conjunto de proyecto "Intervención psicoeducativa para mejorar el bienestar psicológico de menores trabajadores en Honduras: un programa de intervención comunitaria multi-situado con diferentes condiciones y formas de trabajo infantil".</t>
  </si>
  <si>
    <t>15 de febrero 2022</t>
  </si>
  <si>
    <t>UNAH: Andrea Castillo, Carrera de Psicología, andrea.castillo@unah.edu.hn</t>
  </si>
  <si>
    <t>2022-08-ES</t>
  </si>
  <si>
    <t>5 de mayo 2022</t>
  </si>
  <si>
    <t>UPM: Director de Área para Latinoameríca y Cooperación al Desarrollo, international.cooperation@upm.es +34 910670155
UNAH: VRI, vri@unah.edu.hn y la Arq. Wilda Banegas de la Facultad de Humanidades y Arte.</t>
  </si>
  <si>
    <t>2022-09-US</t>
  </si>
  <si>
    <t>Regular la prestación de instrumentos, servicios y materiales de evaluación de aspirantes que solicitan admisión a la UNAH, tal cual lo establece el Reglamento de Admisión de los Estudiantes a la Universidad Nacional Autónoma de Honduras.</t>
  </si>
  <si>
    <t xml:space="preserve">Direccion de Sistema de Admision </t>
  </si>
  <si>
    <t>25 de mayo 2022</t>
  </si>
  <si>
    <t xml:space="preserve">01 marzo del 2024  </t>
  </si>
  <si>
    <t xml:space="preserve">Ing. Carlos Mauricio Ordoñez/Director del Sistema de Admision </t>
  </si>
  <si>
    <t>2022-10-US</t>
  </si>
  <si>
    <t>Universidad de Texas del Valle del Río Grande (University of Texas Rio Grande Valley) (UTRGV)</t>
  </si>
  <si>
    <t>UNAH: Ulda Rosibel Borjas ulda.borjas@unah.edu.hn UTRGV: Luis R. Torres-Hostos, PhD Luis Torres-Hostos &lt;luis.torreshostos@utrgv.edu&gt;</t>
  </si>
  <si>
    <t>2022-11-US</t>
  </si>
  <si>
    <t>National Democratic Institute (NDI)</t>
  </si>
  <si>
    <t>Enmendar acuerdo de cooperación entre NDI y IUDPAS.</t>
  </si>
  <si>
    <t>IUDPAS</t>
  </si>
  <si>
    <t>25 de marzo 2022</t>
  </si>
  <si>
    <t>Hasta 31 de mayo del 2022</t>
  </si>
  <si>
    <t>IUDPAS: Diosana Lagos</t>
  </si>
  <si>
    <t>2022-12-CO</t>
  </si>
  <si>
    <t>Universidad Industrial de Santander (UIS)</t>
  </si>
  <si>
    <t>2022-13-INT</t>
  </si>
  <si>
    <t>Implementación del programa "Formación y Certificación de las Competencias del Profesorado Universitario".</t>
  </si>
  <si>
    <t>3 de mayo 2022</t>
  </si>
  <si>
    <t>UNAH: JUNIOR OMAR LÓPEZ MONCADA &lt;junior.lopez@unah.edu.hn&gt;  Contraparte: Dr. Carlos Enrique Vecino  relextdir@uis.edu.co</t>
  </si>
  <si>
    <t>2022-14-ES</t>
  </si>
  <si>
    <t>Desarrollo del Máster en Medio Ambiente y Arquitectura Bioclimática</t>
  </si>
  <si>
    <t>20 de julio 2022</t>
  </si>
  <si>
    <t>Hasta final de 3era edición del curso</t>
  </si>
  <si>
    <t>UNAH: Lic. Suyapa Andino suyapa.andino@unah.edu.hn</t>
  </si>
  <si>
    <t>2022-15-INT</t>
  </si>
  <si>
    <t>Instituto de las Naciones Unidas para la Formacion Profesional e Investigaciones (UNITAR)</t>
  </si>
  <si>
    <t>6 de julio 2022</t>
  </si>
  <si>
    <t>UNAH: arquitecta Wilda Vannesa Banegas wilda.banegas@unah.edu.hn&gt; UPM: Dr. Javier Neila fjavier.neila@upm.es&gt;</t>
  </si>
  <si>
    <t>2022-16-MX</t>
  </si>
  <si>
    <t>Fundación Educación por la Experiencia</t>
  </si>
  <si>
    <t>2022-17-MX</t>
  </si>
  <si>
    <t>13 d ejunio 2022</t>
  </si>
  <si>
    <t>UNAH: eleonora.espinoza@unah.edu.hn UAQ: jesus.armando.martinez@uaq.mx</t>
  </si>
  <si>
    <t>2022-18-CO</t>
  </si>
  <si>
    <t>Institución Universitaria Visión de las Américas</t>
  </si>
  <si>
    <t>7 de julio 2022</t>
  </si>
  <si>
    <t>2022-19-VAR</t>
  </si>
  <si>
    <t>Consejo Superior Universitario Centroamericano (CSUCA), Universidad de El Salvador (UES), Universidad de San Carlos de Guatemala (USAC), Asociación GAIA El Salvador</t>
  </si>
  <si>
    <t>Creación de consorcio para presentar proyecto de licitación al Fondo de Paisajes Biodiversos (BLF) del Reino Unido.</t>
  </si>
  <si>
    <t>Agosto 2022</t>
  </si>
  <si>
    <t>2022-20-FR</t>
  </si>
  <si>
    <t>28 de junio 2022</t>
  </si>
  <si>
    <t>2022-21-VAR</t>
  </si>
  <si>
    <t>Organización de Aviación Civil Internacional (OACI), Centros de Aviación Civil de las Regiones de Norteamérica (NAM), Centroamérica y Caribe (CAR)</t>
  </si>
  <si>
    <t>Cooperación técnica entre centros de instrucción de aviación civil de Norteamérica, Centroamérica y el Caribe</t>
  </si>
  <si>
    <t>UNAH: Faces, Omri Amaya</t>
  </si>
  <si>
    <t>2022-22-BR</t>
  </si>
  <si>
    <t>26 de septiembre 2022</t>
  </si>
  <si>
    <t>2022-23-HN</t>
  </si>
  <si>
    <t>Médicos del Mundo (MdM)</t>
  </si>
  <si>
    <t>24 de junio 2022</t>
  </si>
  <si>
    <t>A pesar de que MdM es una ONG que se origina en España, este convenio en particular se firmó con una persona jurídica hondureña (por ende la clasificación de "HN"), que funciona como sucursal de la ONG original.</t>
  </si>
  <si>
    <t>`MdM: Darlan Alvarado, Coordinador País, Tel. +504 22020436, Email: coordinacion.honduras@medicosdelmundo.org</t>
  </si>
  <si>
    <t>2022-24-ES</t>
  </si>
  <si>
    <t>Polaris Minor S.L. (IBERONEX)</t>
  </si>
  <si>
    <t>Adhesión de la UNAH a la red IBERONEX</t>
  </si>
  <si>
    <t>27 de julio 2022</t>
  </si>
  <si>
    <t>IBERONEX: Ignacio de Puig Sagnier, Director, ipuig@planetadeagostini.es, Tel.: +34 93 492 62 83, Mov.: +34 659 251 206</t>
  </si>
  <si>
    <t>2022-25-DE</t>
  </si>
  <si>
    <t>Agencia Extranjera de Cooperación</t>
  </si>
  <si>
    <t>Financiamiento de becas para la Maestría en Demografía y Desarrollo</t>
  </si>
  <si>
    <t>22 de junio 2022</t>
  </si>
  <si>
    <t>Hasta final de programa</t>
  </si>
  <si>
    <t>DAAD: Malte Lademann, Email: lademann@daad.de, Tel.: +49 228 882 8750</t>
  </si>
  <si>
    <t>2022-26-CH</t>
  </si>
  <si>
    <t>Facultad de Medicina de la Universidad de Berna (Universität Bern) (UNIBE)</t>
  </si>
  <si>
    <t>30 de junio 2022</t>
  </si>
  <si>
    <t>indefinida</t>
  </si>
  <si>
    <t>UniBE: Claudio Bassetti, Decano, Facultad de Medicina UNAH: VRI</t>
  </si>
  <si>
    <t>DATOS Y ESTADÍSTICAS</t>
  </si>
  <si>
    <t>DATOS PARA LISTAS</t>
  </si>
  <si>
    <t>DATOS GENERALES</t>
  </si>
  <si>
    <t>CONVENIOS POR PAÍS</t>
  </si>
  <si>
    <t>CONVENIOS POR AÑO</t>
  </si>
  <si>
    <t>NOMBRE DE RANGO</t>
  </si>
  <si>
    <t>DropVigencia</t>
  </si>
  <si>
    <t>DropCondicion</t>
  </si>
  <si>
    <t>ESTADO</t>
  </si>
  <si>
    <t>CONVENIOS</t>
  </si>
  <si>
    <t>PORCENTAJE</t>
  </si>
  <si>
    <t>TOTAL</t>
  </si>
  <si>
    <t>OPCIONES</t>
  </si>
  <si>
    <t>Activo</t>
  </si>
  <si>
    <t>Convenios Vigentes</t>
  </si>
  <si>
    <t>Promedio Anual</t>
  </si>
  <si>
    <t>Inactivo</t>
  </si>
  <si>
    <t>Convenios Expirados</t>
  </si>
  <si>
    <t>TOTAL SUSCRITOS</t>
  </si>
  <si>
    <t>CONVENIOS POR REGIÓN</t>
  </si>
  <si>
    <t>REGIÓN</t>
  </si>
  <si>
    <t>Afganistán</t>
  </si>
  <si>
    <t>Europa</t>
  </si>
  <si>
    <t>Albania</t>
  </si>
  <si>
    <t>América del Norte</t>
  </si>
  <si>
    <t>Organizaciones Internacionales</t>
  </si>
  <si>
    <t>Andorra</t>
  </si>
  <si>
    <t>Angola</t>
  </si>
  <si>
    <t>América del Sur</t>
  </si>
  <si>
    <t>Anguila</t>
  </si>
  <si>
    <t>América Central</t>
  </si>
  <si>
    <t>Antártida</t>
  </si>
  <si>
    <t>Caribe</t>
  </si>
  <si>
    <t>Antigua y Barbuda</t>
  </si>
  <si>
    <t>Asia</t>
  </si>
  <si>
    <t>Antillas Holandesas</t>
  </si>
  <si>
    <t>África</t>
  </si>
  <si>
    <t>Arabia Saudita</t>
  </si>
  <si>
    <t>Argelia</t>
  </si>
  <si>
    <t>CONVENIOS POR TIPO DE ENTIDAD CONTRAPARTE</t>
  </si>
  <si>
    <t>Armenia</t>
  </si>
  <si>
    <t>TIPO</t>
  </si>
  <si>
    <t>Aruba</t>
  </si>
  <si>
    <t>Australia</t>
  </si>
  <si>
    <t>Austria</t>
  </si>
  <si>
    <t>Azerbaiyán</t>
  </si>
  <si>
    <t>Bahamas</t>
  </si>
  <si>
    <t>Bangladesh</t>
  </si>
  <si>
    <t>Barbados</t>
  </si>
  <si>
    <t>Baréin</t>
  </si>
  <si>
    <t>Bélgica</t>
  </si>
  <si>
    <t>2017</t>
  </si>
  <si>
    <t>Belice</t>
  </si>
  <si>
    <t>2018</t>
  </si>
  <si>
    <t>Benín</t>
  </si>
  <si>
    <t>2019</t>
  </si>
  <si>
    <t>Bermuda</t>
  </si>
  <si>
    <t>CONVENIOS POR TIPO DE INSTRUMENTO</t>
  </si>
  <si>
    <t>2020</t>
  </si>
  <si>
    <t>Bielorrusia</t>
  </si>
  <si>
    <t>NÚMERO</t>
  </si>
  <si>
    <t>2021</t>
  </si>
  <si>
    <t>2022</t>
  </si>
  <si>
    <t>Bonaire, San Eustaquio y Saba</t>
  </si>
  <si>
    <t>Bosnia y Herzegovina</t>
  </si>
  <si>
    <t>Botsuana</t>
  </si>
  <si>
    <t>Brunei</t>
  </si>
  <si>
    <t>Bulgaria</t>
  </si>
  <si>
    <t>Burkina Faso</t>
  </si>
  <si>
    <t>Burundi</t>
  </si>
  <si>
    <t>Bután</t>
  </si>
  <si>
    <t>Cabo Verde</t>
  </si>
  <si>
    <t>Camboya</t>
  </si>
  <si>
    <t>Camerún</t>
  </si>
  <si>
    <t>Catar</t>
  </si>
  <si>
    <t>Chad</t>
  </si>
  <si>
    <t>China</t>
  </si>
  <si>
    <t>Chipre</t>
  </si>
  <si>
    <t>Comoras</t>
  </si>
  <si>
    <t>Corea del Norte</t>
  </si>
  <si>
    <t>Costa de Marfil</t>
  </si>
  <si>
    <t>Croacia</t>
  </si>
  <si>
    <t>Curazao</t>
  </si>
  <si>
    <t>Dinamarca</t>
  </si>
  <si>
    <t>Dominica</t>
  </si>
  <si>
    <t>Egipto</t>
  </si>
  <si>
    <t>Emiratos Árabes Unidos</t>
  </si>
  <si>
    <t>Eritrea</t>
  </si>
  <si>
    <t>Eslovaquia</t>
  </si>
  <si>
    <t>Eslovenia</t>
  </si>
  <si>
    <t>Estonia</t>
  </si>
  <si>
    <t>Etiopía</t>
  </si>
  <si>
    <t>Fiji</t>
  </si>
  <si>
    <t>Filipinas</t>
  </si>
  <si>
    <t>Finlandia</t>
  </si>
  <si>
    <t>Gabón</t>
  </si>
  <si>
    <t>Gambia</t>
  </si>
  <si>
    <t>Georgia</t>
  </si>
  <si>
    <t>Ghana</t>
  </si>
  <si>
    <t>Gibraltar</t>
  </si>
  <si>
    <t>Granada</t>
  </si>
  <si>
    <t>Grecia</t>
  </si>
  <si>
    <t>Groenlandia</t>
  </si>
  <si>
    <t>Guadalupe</t>
  </si>
  <si>
    <t>Guam</t>
  </si>
  <si>
    <t>Guayana Francesa</t>
  </si>
  <si>
    <t>Guernsey</t>
  </si>
  <si>
    <t>Guinea</t>
  </si>
  <si>
    <t>Guinea Bissau</t>
  </si>
  <si>
    <t>Guyana</t>
  </si>
  <si>
    <t>Haití</t>
  </si>
  <si>
    <t>Hong Kong</t>
  </si>
  <si>
    <t>Hungría</t>
  </si>
  <si>
    <t>India</t>
  </si>
  <si>
    <t>Indonesia</t>
  </si>
  <si>
    <t>Irak</t>
  </si>
  <si>
    <t>Irán</t>
  </si>
  <si>
    <t>Isla Bouvet</t>
  </si>
  <si>
    <t>Isla de Man</t>
  </si>
  <si>
    <t>Isla de Pascua</t>
  </si>
  <si>
    <t>Isla Norfolk</t>
  </si>
  <si>
    <t>Islandia</t>
  </si>
  <si>
    <t>Islas Caimán</t>
  </si>
  <si>
    <t>Islas Cocos</t>
  </si>
  <si>
    <t>Islas Cook</t>
  </si>
  <si>
    <t>Islas de Åland</t>
  </si>
  <si>
    <t>Islas Faroe</t>
  </si>
  <si>
    <t>Islas Georgia del Sur y Sandwich del Sur</t>
  </si>
  <si>
    <t>Islas Heard y McDonald</t>
  </si>
  <si>
    <t>Islas Malvinas</t>
  </si>
  <si>
    <t>Islas Marianas del Norte</t>
  </si>
  <si>
    <t>Islas Marshall</t>
  </si>
  <si>
    <t>Islas menores alejadas de los Estados Unidos</t>
  </si>
  <si>
    <t>Islas Pitcairn</t>
  </si>
  <si>
    <t>Islas Salomón</t>
  </si>
  <si>
    <t>Islas Svalbard y Jan Mayen</t>
  </si>
  <si>
    <t>Islas Tokelau</t>
  </si>
  <si>
    <t>Islas Turcos y Caicos</t>
  </si>
  <si>
    <t>Islas Vírgenes Británicas</t>
  </si>
  <si>
    <t>Islas Vírgenes de los EE.UU.</t>
  </si>
  <si>
    <t>Israel</t>
  </si>
  <si>
    <t>Jamaica</t>
  </si>
  <si>
    <t>Jersey</t>
  </si>
  <si>
    <t>Jordania</t>
  </si>
  <si>
    <t>Kazajistán</t>
  </si>
  <si>
    <t>Kenia</t>
  </si>
  <si>
    <t>Kirguistán</t>
  </si>
  <si>
    <t>Kiribati</t>
  </si>
  <si>
    <t>Kosovo</t>
  </si>
  <si>
    <t>Kuwait</t>
  </si>
  <si>
    <t>Laos</t>
  </si>
  <si>
    <t>Lesoto</t>
  </si>
  <si>
    <t>Letonia</t>
  </si>
  <si>
    <t>Líbano</t>
  </si>
  <si>
    <t>Liberia</t>
  </si>
  <si>
    <t>Libia</t>
  </si>
  <si>
    <t>Liechtenstein</t>
  </si>
  <si>
    <t>Lituania</t>
  </si>
  <si>
    <t>Luxemburgo</t>
  </si>
  <si>
    <t>Macao</t>
  </si>
  <si>
    <t>Macedonia</t>
  </si>
  <si>
    <t>Madagascar</t>
  </si>
  <si>
    <t>Malasia</t>
  </si>
  <si>
    <t>Malaui</t>
  </si>
  <si>
    <t>Maldivas</t>
  </si>
  <si>
    <t>Malí</t>
  </si>
  <si>
    <t>Malta</t>
  </si>
  <si>
    <t>Marruecos</t>
  </si>
  <si>
    <t>Martinica</t>
  </si>
  <si>
    <t>Mauricio</t>
  </si>
  <si>
    <t>Mauritania</t>
  </si>
  <si>
    <t>Mayotte</t>
  </si>
  <si>
    <t>Micronesia</t>
  </si>
  <si>
    <t>Moldavia</t>
  </si>
  <si>
    <t>Mónaco</t>
  </si>
  <si>
    <t>Mongolia</t>
  </si>
  <si>
    <t>Montenegro</t>
  </si>
  <si>
    <t>Montserrat</t>
  </si>
  <si>
    <t>Mozambique</t>
  </si>
  <si>
    <t>Myanmar</t>
  </si>
  <si>
    <t>Namibia</t>
  </si>
  <si>
    <t>Nauru</t>
  </si>
  <si>
    <t>Nepal</t>
  </si>
  <si>
    <t>Níger</t>
  </si>
  <si>
    <t>Nigeria</t>
  </si>
  <si>
    <t>Niue</t>
  </si>
  <si>
    <t>Noruega</t>
  </si>
  <si>
    <t>Nueva Caledonia</t>
  </si>
  <si>
    <t>Nueva Zelanda</t>
  </si>
  <si>
    <t>Omán</t>
  </si>
  <si>
    <t>Pakistán</t>
  </si>
  <si>
    <t>Palaos</t>
  </si>
  <si>
    <t>Papúa Nueva Guinea</t>
  </si>
  <si>
    <t>Paraguay</t>
  </si>
  <si>
    <t>Polinesia Francesa</t>
  </si>
  <si>
    <t>Portugal</t>
  </si>
  <si>
    <t>Puerto Rico</t>
  </si>
  <si>
    <t>República Checa</t>
  </si>
  <si>
    <t>República de África Central</t>
  </si>
  <si>
    <t>República del Congo</t>
  </si>
  <si>
    <t>República Democrática del Congo</t>
  </si>
  <si>
    <t>República Togolesa</t>
  </si>
  <si>
    <t>Reunión</t>
  </si>
  <si>
    <t>Ruanda</t>
  </si>
  <si>
    <t>Rumanía</t>
  </si>
  <si>
    <t>Rusia</t>
  </si>
  <si>
    <t>Sahara Occidental</t>
  </si>
  <si>
    <t>Samoa Americana</t>
  </si>
  <si>
    <t>Samoa Occidental</t>
  </si>
  <si>
    <t>San Bartolomé</t>
  </si>
  <si>
    <t>San Cristóbal y Nieves</t>
  </si>
  <si>
    <t>San Marino</t>
  </si>
  <si>
    <t>San Martín (Francia)</t>
  </si>
  <si>
    <t>San Martín (Países Bajos)</t>
  </si>
  <si>
    <t>San Pedro y Miguelón</t>
  </si>
  <si>
    <t>San Vicente y las Granadinas</t>
  </si>
  <si>
    <t>Santa Elena</t>
  </si>
  <si>
    <t>Santa Lucía</t>
  </si>
  <si>
    <t>Santo Tomé y Príncipe</t>
  </si>
  <si>
    <t>Senegal</t>
  </si>
  <si>
    <t>Serbia</t>
  </si>
  <si>
    <t>Serbia y Montenegro</t>
  </si>
  <si>
    <t>Seychelles</t>
  </si>
  <si>
    <t>Sierra Leona</t>
  </si>
  <si>
    <t>Singapur</t>
  </si>
  <si>
    <t>Siria</t>
  </si>
  <si>
    <t>Somalia</t>
  </si>
  <si>
    <t>Sri Lanka</t>
  </si>
  <si>
    <t>Suazilandia</t>
  </si>
  <si>
    <t>Sudáfrica</t>
  </si>
  <si>
    <t>Sudán</t>
  </si>
  <si>
    <t>Sudán del Sur</t>
  </si>
  <si>
    <t>Surinam</t>
  </si>
  <si>
    <t>Tailandia</t>
  </si>
  <si>
    <t>Tanzania</t>
  </si>
  <si>
    <t>Tayikistán</t>
  </si>
  <si>
    <t>Territorio Británico del Océano Índico</t>
  </si>
  <si>
    <t>Territorios del sur Franceses</t>
  </si>
  <si>
    <t>Territorios Palestinos</t>
  </si>
  <si>
    <t>Timor Oriental</t>
  </si>
  <si>
    <t>Tonga</t>
  </si>
  <si>
    <t>Trinidad y Tobago</t>
  </si>
  <si>
    <t>Túnez</t>
  </si>
  <si>
    <t>Turkmenistán</t>
  </si>
  <si>
    <t>Tuvalu</t>
  </si>
  <si>
    <t>Ucrania</t>
  </si>
  <si>
    <t>Uganda</t>
  </si>
  <si>
    <t>Uzbekistán</t>
  </si>
  <si>
    <t>Vanuatu</t>
  </si>
  <si>
    <t>Vaticano</t>
  </si>
  <si>
    <t>Venezuela</t>
  </si>
  <si>
    <t>Vietnam</t>
  </si>
  <si>
    <t>Wallis y Futuna</t>
  </si>
  <si>
    <t>Yemen</t>
  </si>
  <si>
    <t>Yibuti</t>
  </si>
  <si>
    <t>Zambia</t>
  </si>
  <si>
    <t>Zimbabue</t>
  </si>
  <si>
    <t>ASIGNACIÓN DE CÓDIGOS</t>
  </si>
  <si>
    <t>Códigos contienen 3 elementos:</t>
  </si>
  <si>
    <t>1: Año</t>
  </si>
  <si>
    <t xml:space="preserve">2: Orden de registro </t>
  </si>
  <si>
    <t>3: Abreviación de 2 o 3 letras</t>
  </si>
  <si>
    <r>
      <rPr>
        <b/>
        <sz val="14"/>
        <color rgb="FF00B0F0"/>
        <rFont val="Calibri"/>
        <family val="2"/>
        <scheme val="minor"/>
      </rPr>
      <t>2012</t>
    </r>
    <r>
      <rPr>
        <b/>
        <sz val="14"/>
        <color theme="1"/>
        <rFont val="Calibri"/>
        <family val="2"/>
        <scheme val="minor"/>
      </rPr>
      <t>-</t>
    </r>
    <r>
      <rPr>
        <b/>
        <sz val="14"/>
        <color rgb="FF00B050"/>
        <rFont val="Calibri"/>
        <family val="2"/>
        <scheme val="minor"/>
      </rPr>
      <t>10</t>
    </r>
    <r>
      <rPr>
        <b/>
        <sz val="14"/>
        <color theme="1"/>
        <rFont val="Calibri"/>
        <family val="2"/>
        <scheme val="minor"/>
      </rPr>
      <t>-</t>
    </r>
    <r>
      <rPr>
        <b/>
        <sz val="14"/>
        <color rgb="FFFF0000"/>
        <rFont val="Calibri"/>
        <family val="2"/>
        <scheme val="minor"/>
      </rPr>
      <t>GQ</t>
    </r>
    <r>
      <rPr>
        <b/>
        <sz val="14"/>
        <color theme="1"/>
        <rFont val="Calibri"/>
        <family val="2"/>
        <scheme val="minor"/>
      </rPr>
      <t xml:space="preserve">, </t>
    </r>
    <r>
      <rPr>
        <b/>
        <sz val="14"/>
        <color rgb="FF00B0F0"/>
        <rFont val="Calibri"/>
        <family val="2"/>
        <scheme val="minor"/>
      </rPr>
      <t>2011</t>
    </r>
    <r>
      <rPr>
        <b/>
        <sz val="14"/>
        <color theme="1"/>
        <rFont val="Calibri"/>
        <family val="2"/>
        <scheme val="minor"/>
      </rPr>
      <t>-</t>
    </r>
    <r>
      <rPr>
        <b/>
        <sz val="14"/>
        <color rgb="FF00B050"/>
        <rFont val="Calibri"/>
        <family val="2"/>
        <scheme val="minor"/>
      </rPr>
      <t>12</t>
    </r>
    <r>
      <rPr>
        <b/>
        <sz val="14"/>
        <color theme="1"/>
        <rFont val="Calibri"/>
        <family val="2"/>
        <scheme val="minor"/>
      </rPr>
      <t>-</t>
    </r>
    <r>
      <rPr>
        <b/>
        <sz val="14"/>
        <color rgb="FFFF0000"/>
        <rFont val="Calibri"/>
        <family val="2"/>
        <scheme val="minor"/>
      </rPr>
      <t>VAR</t>
    </r>
    <r>
      <rPr>
        <b/>
        <sz val="14"/>
        <color theme="1"/>
        <rFont val="Calibri"/>
        <family val="2"/>
        <scheme val="minor"/>
      </rPr>
      <t xml:space="preserve">, </t>
    </r>
    <r>
      <rPr>
        <b/>
        <sz val="14"/>
        <color rgb="FF00B0F0"/>
        <rFont val="Calibri"/>
        <family val="2"/>
        <scheme val="minor"/>
      </rPr>
      <t>2008</t>
    </r>
    <r>
      <rPr>
        <b/>
        <sz val="14"/>
        <color theme="1"/>
        <rFont val="Calibri"/>
        <family val="2"/>
        <scheme val="minor"/>
      </rPr>
      <t>-</t>
    </r>
    <r>
      <rPr>
        <b/>
        <sz val="14"/>
        <color rgb="FF00B050"/>
        <rFont val="Calibri"/>
        <family val="2"/>
        <scheme val="minor"/>
      </rPr>
      <t>08</t>
    </r>
    <r>
      <rPr>
        <b/>
        <sz val="14"/>
        <color theme="1"/>
        <rFont val="Calibri"/>
        <family val="2"/>
        <scheme val="minor"/>
      </rPr>
      <t>-</t>
    </r>
    <r>
      <rPr>
        <b/>
        <sz val="14"/>
        <color rgb="FFFF0000"/>
        <rFont val="Calibri"/>
        <family val="2"/>
        <scheme val="minor"/>
      </rPr>
      <t>INT</t>
    </r>
    <r>
      <rPr>
        <b/>
        <sz val="14"/>
        <color theme="1"/>
        <rFont val="Calibri"/>
        <family val="2"/>
        <scheme val="minor"/>
      </rPr>
      <t xml:space="preserve"> (más ejemplos concretos abajo)</t>
    </r>
  </si>
  <si>
    <t>OJO:</t>
  </si>
  <si>
    <r>
      <t xml:space="preserve">En el caso del número que designa el orden dentro del año de un convenio (el segundo número del código), si este es de un sólo dígito, </t>
    </r>
    <r>
      <rPr>
        <b/>
        <sz val="11"/>
        <color theme="1"/>
        <rFont val="Calibri"/>
        <family val="2"/>
        <scheme val="minor"/>
      </rPr>
      <t>es importante colocar un cero "0" antes.</t>
    </r>
  </si>
  <si>
    <t>Esto es necesario para que Excel pueda ordenar los convenios correctamente.</t>
  </si>
  <si>
    <t>Ejemplo: Para el noveno convenio del año 2010, se escribe "2010-09", no "2010-9".</t>
  </si>
  <si>
    <t>Abreviación de 2 letras: PAÍSES (ver tabla de códigos de país)</t>
  </si>
  <si>
    <r>
      <rPr>
        <b/>
        <sz val="11"/>
        <color theme="1"/>
        <rFont val="Calibri"/>
        <family val="2"/>
        <scheme val="minor"/>
      </rPr>
      <t xml:space="preserve">XX: </t>
    </r>
    <r>
      <rPr>
        <sz val="11"/>
        <color theme="1"/>
        <rFont val="Calibri"/>
        <family val="2"/>
        <scheme val="minor"/>
      </rPr>
      <t>Para toda entidad que claramente pertenece a un país determinado, universidades, fundaciones, ONGs, agencias extranjeras, representaciones diplomáticas, sociedades , etc.mercantiles (empresas)</t>
    </r>
  </si>
  <si>
    <t>Ejemplos:</t>
  </si>
  <si>
    <t>*</t>
  </si>
  <si>
    <t>TW</t>
  </si>
  <si>
    <t>Universidad de Taiwán</t>
  </si>
  <si>
    <t>Universidad de Valencia</t>
  </si>
  <si>
    <t>ES</t>
  </si>
  <si>
    <t>Universidad de España</t>
  </si>
  <si>
    <t>Servicio Alemán de Intercambio Académico (DAAD)</t>
  </si>
  <si>
    <t>DE</t>
  </si>
  <si>
    <t>Agencia gubernamental de Alemania</t>
  </si>
  <si>
    <t>FR</t>
  </si>
  <si>
    <t>Representación diplomática de Francia en Honduras</t>
  </si>
  <si>
    <t>US</t>
  </si>
  <si>
    <t>Fundación educativa asociada a la Universidad de Harvard de Estados Unidos</t>
  </si>
  <si>
    <t>Asociación Hondureña de Ex-Becarios de Japón (AHBEJA)</t>
  </si>
  <si>
    <t>HN</t>
  </si>
  <si>
    <t>Asociación Civil Hondureña</t>
  </si>
  <si>
    <t>*OJO: Dado que AHBEJA se constituyó en y bajo las leyes de Honduras, se clasifica como hondureña a pesar de que su trabajo está relacionado a Japón</t>
  </si>
  <si>
    <t>Abreviación de 3 letras: INT y VAR</t>
  </si>
  <si>
    <r>
      <rPr>
        <b/>
        <sz val="11"/>
        <color theme="1"/>
        <rFont val="Calibri"/>
        <family val="2"/>
        <scheme val="minor"/>
      </rPr>
      <t>INT</t>
    </r>
    <r>
      <rPr>
        <sz val="11"/>
        <color theme="1"/>
        <rFont val="Calibri"/>
        <family val="2"/>
        <scheme val="minor"/>
      </rPr>
      <t>: Para convenios suscritos con 1 parte que sea una organización internacional o cualquier entidad que no pueda considerarse que pertenece a un sólo país, indistinto del país de sede</t>
    </r>
  </si>
  <si>
    <t>Organización Mundial de la Salud (OMS)</t>
  </si>
  <si>
    <r>
      <rPr>
        <b/>
        <sz val="11"/>
        <color theme="1"/>
        <rFont val="Calibri"/>
        <family val="2"/>
        <scheme val="minor"/>
      </rPr>
      <t>VAR</t>
    </r>
    <r>
      <rPr>
        <sz val="11"/>
        <color theme="1"/>
        <rFont val="Calibri"/>
        <family val="2"/>
        <scheme val="minor"/>
      </rPr>
      <t>: "Varios", para convenios con más de 2 partes suscriptoras (consorcios, redes, etc.).</t>
    </r>
  </si>
  <si>
    <t xml:space="preserve">Ejemplos: </t>
  </si>
  <si>
    <t>Consorcio Eulalinks Sense para programa Erasmus Mundus</t>
  </si>
  <si>
    <t>AHBEJA y Embajada de Japón</t>
  </si>
  <si>
    <t>Para renovaciones o sucesión de convenios:</t>
  </si>
  <si>
    <t>Se asigna primero un código según las reglas normales, después colocar referencia en observaciones para los convenios relevantes (en primer convenio mencionar sucesivas renovaciones, en nuevos convenios mencionar anteriores ediciones).</t>
  </si>
  <si>
    <t>EJEMPLOS:</t>
  </si>
  <si>
    <t>Convenio marco con la Universidad Nacional de Guinea Ecuatorial (UNGE)</t>
  </si>
  <si>
    <r>
      <t xml:space="preserve">Expediente: </t>
    </r>
    <r>
      <rPr>
        <b/>
        <sz val="11"/>
        <color theme="1"/>
        <rFont val="Calibri"/>
        <family val="2"/>
        <scheme val="minor"/>
      </rPr>
      <t>2012-10-GQ</t>
    </r>
  </si>
  <si>
    <t>: suscrito en el año 2012</t>
  </si>
  <si>
    <t>: décimo convenio suscrito en el año</t>
  </si>
  <si>
    <t>GQ</t>
  </si>
  <si>
    <t>: suscrito con una institución de Guinea Ecuatorial</t>
  </si>
  <si>
    <t>Convenio constitutivo de la Red de Cooperación e Internacionalización de la Educación Superior en América Central (INCA)</t>
  </si>
  <si>
    <r>
      <t xml:space="preserve">Expediente: </t>
    </r>
    <r>
      <rPr>
        <b/>
        <sz val="11"/>
        <color theme="1"/>
        <rFont val="Calibri"/>
        <family val="2"/>
        <scheme val="minor"/>
      </rPr>
      <t>2011-12-VAR</t>
    </r>
  </si>
  <si>
    <t>: suscrito en el año 2011</t>
  </si>
  <si>
    <t>: duodécimo convenio registrado en el año</t>
  </si>
  <si>
    <t>VAR</t>
  </si>
  <si>
    <t>: suscrito con universidades de distintos países para la constitución de una red universitaria</t>
  </si>
  <si>
    <t>Convenio suscrito con la Organización de las Naciones Unidas para la Agricultura y Alimentación (FAO)</t>
  </si>
  <si>
    <r>
      <t xml:space="preserve">Expediente: </t>
    </r>
    <r>
      <rPr>
        <b/>
        <sz val="11"/>
        <color theme="1"/>
        <rFont val="Calibri"/>
        <family val="2"/>
        <scheme val="minor"/>
      </rPr>
      <t>2008-08-INT</t>
    </r>
  </si>
  <si>
    <t>: suscrito en el 2008</t>
  </si>
  <si>
    <t>08</t>
  </si>
  <si>
    <t>: octavo convenio registrado en el año</t>
  </si>
  <si>
    <t>INT</t>
  </si>
  <si>
    <t>: suscrito con una organización de carácter internacional (no pertenece a un sólo país)</t>
  </si>
  <si>
    <t>Convenio de colaboración de apertura de portal Universia</t>
  </si>
  <si>
    <r>
      <t xml:space="preserve">Expediente: </t>
    </r>
    <r>
      <rPr>
        <b/>
        <sz val="11"/>
        <color theme="1"/>
        <rFont val="Calibri"/>
        <family val="2"/>
        <scheme val="minor"/>
      </rPr>
      <t>2010-08-ES</t>
    </r>
  </si>
  <si>
    <t>: suscrito en el año 2010</t>
  </si>
  <si>
    <t>: suscrito con una sociedad mercantil (empresa) española</t>
  </si>
  <si>
    <t>Convenio suscrito con la Embajada de Japón en Honduras, Asociación Hondureña de Becarios del Japón (AHBEJA) para colaboración general y difusión de cultura japonesa</t>
  </si>
  <si>
    <r>
      <t xml:space="preserve">Expediente: </t>
    </r>
    <r>
      <rPr>
        <b/>
        <sz val="11"/>
        <color theme="1"/>
        <rFont val="Calibri"/>
        <family val="2"/>
        <scheme val="minor"/>
      </rPr>
      <t>2014-06-VAR</t>
    </r>
  </si>
  <si>
    <t>: suscrito en el año 2014</t>
  </si>
  <si>
    <t>06</t>
  </si>
  <si>
    <t>: sexto convenio registrado en el año</t>
  </si>
  <si>
    <t>: suscrito con 2 partes de distinto origen (1 representación diplomática japonesa y 1 asociación civil hondureña)</t>
  </si>
  <si>
    <t>Convenio suscrito con la Fundación Corea (Korea Foundation) y la Embajada de Corea del Sur en Honduras para enseñanza de coreano</t>
  </si>
  <si>
    <r>
      <t xml:space="preserve">Expediente: </t>
    </r>
    <r>
      <rPr>
        <b/>
        <sz val="11"/>
        <color theme="1"/>
        <rFont val="Calibri"/>
        <family val="2"/>
        <scheme val="minor"/>
      </rPr>
      <t>2016-18-KR</t>
    </r>
  </si>
  <si>
    <t>: suscrito en el año 2016</t>
  </si>
  <si>
    <t>18</t>
  </si>
  <si>
    <t>: decimoctavo convenio registrado en el año</t>
  </si>
  <si>
    <t>KR</t>
  </si>
  <si>
    <t>: suscrito con 2 partes de origen coreano (1 representación diplomática y 1 organización no gubernamental, ambas coreanas)</t>
  </si>
  <si>
    <t>CÓDIGO ISO 3166 ALPHA-2</t>
  </si>
  <si>
    <t>AF</t>
  </si>
  <si>
    <t>AX</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</si>
  <si>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</si>
  <si>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</si>
  <si>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</si>
  <si>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</si>
  <si>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</si>
  <si>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</si>
  <si>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</si>
  <si>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</si>
  <si>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</si>
  <si>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</si>
  <si>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</si>
  <si>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</si>
  <si>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</si>
  <si>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</si>
  <si>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</si>
  <si>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</si>
  <si>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</si>
  <si>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</si>
  <si>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</si>
  <si>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</si>
  <si>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</si>
  <si>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</si>
  <si>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</si>
  <si>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</si>
  <si>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</si>
  <si>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</si>
  <si>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</si>
  <si>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</si>
  <si>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</si>
  <si>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</si>
  <si>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</si>
  <si>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VG</t>
  </si>
  <si>
    <t>BN</t>
  </si>
  <si>
    <t>BG</t>
  </si>
  <si>
    <t>BF</t>
  </si>
  <si>
    <t>BI</t>
  </si>
  <si>
    <t>KH</t>
  </si>
  <si>
    <t>CM</t>
  </si>
  <si>
    <t>CA</t>
  </si>
  <si>
    <t>CV</t>
  </si>
  <si>
    <t>KY</t>
  </si>
  <si>
    <t>CF</t>
  </si>
  <si>
    <t>TD</t>
  </si>
  <si>
    <t>CL</t>
  </si>
  <si>
    <t>CN</t>
  </si>
  <si>
    <t>CX</t>
  </si>
  <si>
    <t>CC</t>
  </si>
  <si>
    <t>CO</t>
  </si>
  <si>
    <t>KM</t>
  </si>
  <si>
    <t>CK</t>
  </si>
  <si>
    <t>CR</t>
  </si>
  <si>
    <t>HR</t>
  </si>
  <si>
    <t>CU</t>
  </si>
  <si>
    <t>CW</t>
  </si>
  <si>
    <t>CY</t>
  </si>
  <si>
    <t>CZ</t>
  </si>
  <si>
    <t>CD</t>
  </si>
  <si>
    <t>DK</t>
  </si>
  <si>
    <t>DJ</t>
  </si>
  <si>
    <t>DM</t>
  </si>
  <si>
    <t>DO</t>
  </si>
  <si>
    <t>TL</t>
  </si>
  <si>
    <t>EC</t>
  </si>
  <si>
    <t>EG</t>
  </si>
  <si>
    <t>SV</t>
  </si>
  <si>
    <t>ER</t>
  </si>
  <si>
    <t>EE</t>
  </si>
  <si>
    <t>ET</t>
  </si>
  <si>
    <t>FK</t>
  </si>
  <si>
    <t>FO</t>
  </si>
  <si>
    <t>FJ</t>
  </si>
  <si>
    <t>FI</t>
  </si>
  <si>
    <t>GF</t>
  </si>
  <si>
    <t>PF</t>
  </si>
  <si>
    <t>TF</t>
  </si>
  <si>
    <t>GA</t>
  </si>
  <si>
    <t>GM</t>
  </si>
  <si>
    <t>GE</t>
  </si>
  <si>
    <t>GH</t>
  </si>
  <si>
    <t>GI</t>
  </si>
  <si>
    <t>GR</t>
  </si>
  <si>
    <t>GL</t>
  </si>
  <si>
    <t>GD</t>
  </si>
  <si>
    <t>GP</t>
  </si>
  <si>
    <t>GU</t>
  </si>
  <si>
    <t>GT</t>
  </si>
  <si>
    <t>GG</t>
  </si>
  <si>
    <t>GN</t>
  </si>
  <si>
    <t>GW</t>
  </si>
  <si>
    <t>GY</t>
  </si>
  <si>
    <t>HT</t>
  </si>
  <si>
    <t>HM</t>
  </si>
  <si>
    <t>HK</t>
  </si>
  <si>
    <t>HU</t>
  </si>
  <si>
    <t>IS</t>
  </si>
  <si>
    <t>IN</t>
  </si>
  <si>
    <t>ID</t>
  </si>
  <si>
    <t>IR</t>
  </si>
  <si>
    <t>IQ</t>
  </si>
  <si>
    <t>IE</t>
  </si>
  <si>
    <t>IM</t>
  </si>
  <si>
    <t>IL</t>
  </si>
  <si>
    <t>IT</t>
  </si>
  <si>
    <t>CI</t>
  </si>
  <si>
    <t>JM</t>
  </si>
  <si>
    <t>JP</t>
  </si>
  <si>
    <t>JE</t>
  </si>
  <si>
    <t>JO</t>
  </si>
  <si>
    <t>KZ</t>
  </si>
  <si>
    <t>KE</t>
  </si>
  <si>
    <t>KI</t>
  </si>
  <si>
    <t>XK</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</si>
  <si>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</si>
  <si>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</si>
  <si>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</si>
  <si>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</si>
  <si>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</si>
  <si>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</si>
  <si>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</si>
  <si>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</si>
  <si>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</si>
  <si>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</si>
  <si>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</si>
  <si>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</si>
  <si>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</si>
  <si>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</si>
  <si>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</si>
  <si>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</si>
  <si>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</si>
  <si>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</si>
  <si>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</si>
  <si>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</si>
  <si>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</si>
  <si>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</si>
  <si>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</si>
  <si>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</si>
  <si>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</si>
  <si>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</si>
  <si>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</si>
  <si>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</si>
  <si>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</si>
  <si>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</si>
  <si>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</si>
  <si>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</si>
  <si>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</si>
  <si>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</si>
  <si>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</si>
  <si>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</si>
  <si>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</si>
  <si>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</si>
  <si>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</si>
  <si>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</si>
  <si>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</si>
  <si>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</si>
  <si>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</si>
  <si>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</si>
  <si>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</si>
  <si>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</si>
  <si>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KP</t>
  </si>
  <si>
    <t>MP</t>
  </si>
  <si>
    <t>NO</t>
  </si>
  <si>
    <t>OM</t>
  </si>
  <si>
    <t>PK</t>
  </si>
  <si>
    <t>PW</t>
  </si>
  <si>
    <t>PS</t>
  </si>
  <si>
    <t>PA</t>
  </si>
  <si>
    <t>PG</t>
  </si>
  <si>
    <t>PY</t>
  </si>
  <si>
    <t>PE</t>
  </si>
  <si>
    <t>PH</t>
  </si>
  <si>
    <t>PN</t>
  </si>
  <si>
    <t>PL</t>
  </si>
  <si>
    <t>PT</t>
  </si>
  <si>
    <t>PR</t>
  </si>
  <si>
    <t>QA</t>
  </si>
  <si>
    <t>CG</t>
  </si>
  <si>
    <t>RE</t>
  </si>
  <si>
    <t>RO</t>
  </si>
  <si>
    <t>RU</t>
  </si>
  <si>
    <t>RW</t>
  </si>
  <si>
    <t>BL</t>
  </si>
  <si>
    <t>SH</t>
  </si>
  <si>
    <t>KN</t>
  </si>
  <si>
    <t>LC</t>
  </si>
  <si>
    <t>MF</t>
  </si>
  <si>
    <t>PM</t>
  </si>
  <si>
    <t>VC</t>
  </si>
  <si>
    <t>WS</t>
  </si>
  <si>
    <t>SM</t>
  </si>
  <si>
    <t>ST</t>
  </si>
  <si>
    <t>SA</t>
  </si>
  <si>
    <t>SN</t>
  </si>
  <si>
    <t>RS</t>
  </si>
  <si>
    <t>CS</t>
  </si>
  <si>
    <t>SC</t>
  </si>
  <si>
    <t>SL</t>
  </si>
  <si>
    <t>SG</t>
  </si>
  <si>
    <t>SX</t>
  </si>
  <si>
    <t>SK</t>
  </si>
  <si>
    <t>SI</t>
  </si>
  <si>
    <t>SB</t>
  </si>
  <si>
    <t>SO</t>
  </si>
  <si>
    <t>ZA</t>
  </si>
  <si>
    <t>GS</t>
  </si>
  <si>
    <t>SS</t>
  </si>
  <si>
    <t>LK</t>
  </si>
  <si>
    <t>SD</t>
  </si>
  <si>
    <t>SR</t>
  </si>
  <si>
    <t>SJ</t>
  </si>
  <si>
    <t>SZ</t>
  </si>
  <si>
    <t>SE</t>
  </si>
  <si>
    <t>CH</t>
  </si>
  <si>
    <t>SY</t>
  </si>
  <si>
    <t>TJ</t>
  </si>
  <si>
    <t>TZ</t>
  </si>
  <si>
    <t>TH</t>
  </si>
  <si>
    <t>TG</t>
  </si>
  <si>
    <t>TK</t>
  </si>
  <si>
    <t>TO</t>
  </si>
  <si>
    <t>TT</t>
  </si>
  <si>
    <t>TN</t>
  </si>
  <si>
    <t>TR</t>
  </si>
  <si>
    <t>TM</t>
  </si>
  <si>
    <t>TC</t>
  </si>
  <si>
    <t>TV</t>
  </si>
  <si>
    <t>VI</t>
  </si>
  <si>
    <t>UG</t>
  </si>
  <si>
    <t>UA</t>
  </si>
  <si>
    <t>AE</t>
  </si>
  <si>
    <t>GB</t>
  </si>
  <si>
    <t>Estados Unidos de América</t>
  </si>
  <si>
    <t>UM</t>
  </si>
  <si>
    <t>UY</t>
  </si>
  <si>
    <t>UZ</t>
  </si>
  <si>
    <t>VU</t>
  </si>
  <si>
    <t>VA</t>
  </si>
  <si>
    <t>VE</t>
  </si>
  <si>
    <t>VN</t>
  </si>
  <si>
    <t>WF</t>
  </si>
  <si>
    <t>EH</t>
  </si>
  <si>
    <t>YE</t>
  </si>
  <si>
    <t>ZM</t>
  </si>
  <si>
    <t>ZW</t>
  </si>
  <si>
    <t>Fundación Konrad Adenauer (Konrad Adenauer Stiftung) (KAS)</t>
  </si>
  <si>
    <t>Facultad de Ciencias, Escuela de Microbiología</t>
  </si>
  <si>
    <t>Universidad Tecnológica de Tijuana (UTT)</t>
  </si>
  <si>
    <t>2023</t>
  </si>
  <si>
    <t>25 de enero 2023</t>
  </si>
  <si>
    <t>2023-01-VAR</t>
  </si>
  <si>
    <t>Universidad de Sevilla (US), Mancomunidad de Municipios del Norte del Paraíso (MANORPA)</t>
  </si>
  <si>
    <t>Ejecución del proyecto "Innovación para la seguridad alimentaria y la economía circular: reutilización de desechos agroindustriales para la producción de harinas alimentarias y bioplásticos en Honduras"</t>
  </si>
  <si>
    <t>UNAH-TEC Danlí</t>
  </si>
  <si>
    <t>Hasta concluir proyecto</t>
  </si>
  <si>
    <t>FICHA 2019-10-ES</t>
  </si>
  <si>
    <t>2023-02-RO</t>
  </si>
  <si>
    <t>Universidad de Galati "Dunarea de Jos" (Universitatea „Dunărea de Jos” din Galați) (UGAL), Programa Erasmus+</t>
  </si>
  <si>
    <t>Rumania</t>
  </si>
  <si>
    <t>Movilidad entre UGAL y UNAH bajo Programa Erasmus+.</t>
  </si>
  <si>
    <t>2023-03-IT</t>
  </si>
  <si>
    <t>17 de enero 2023</t>
  </si>
  <si>
    <t>6 de enero 2023</t>
  </si>
  <si>
    <t>Hasta 2027</t>
  </si>
  <si>
    <t>FICHA 2017-38-MX</t>
  </si>
  <si>
    <t>FICHA 2021-01-ES</t>
  </si>
  <si>
    <t>FICHA 2021-04-ES</t>
  </si>
  <si>
    <t>FICHA 2021-17-PL</t>
  </si>
  <si>
    <t>FICHA 2021-18-PL</t>
  </si>
  <si>
    <t>FICHA 2021-14-ES</t>
  </si>
  <si>
    <t>FICHA 2019-36-BR</t>
  </si>
  <si>
    <t>2022-27-DE</t>
  </si>
  <si>
    <t>Universidad para el Desarrollo Sostenible de Eberswalde (Hochschule für nachhaltige Entwicklung Eberswalde) (HNEE)</t>
  </si>
  <si>
    <t>29 de abril 2022</t>
  </si>
  <si>
    <t>2022-28-CO</t>
  </si>
  <si>
    <t>Facultad de Ciencias Médicas, Departamento de Salud Pública</t>
  </si>
  <si>
    <t>23 de noviembre 2022</t>
  </si>
  <si>
    <t>Antioquia: Paula Díaz, Coordinadora Posgrados Facultad Nacional de Salud Pública, Tel.: [57 + 604] 219 6431, paula.diaz@udea.edu.co       UNAH: Ana Lourdes Cardona, Jefa del Departamento de Salud Pública, Tel.: +504 99908300</t>
  </si>
  <si>
    <t>2022-29-US</t>
  </si>
  <si>
    <t>EcoLogic Development Fund</t>
  </si>
  <si>
    <t>UNAH-TEC Aguán</t>
  </si>
  <si>
    <t>25 de julio 2022</t>
  </si>
  <si>
    <t>OJO: Este es el orden en que un documento es INGRESADO a la base de datos, NO cuando es firmado. Dado que a menudo hay discrepancia entre la fecha de firma y la recepción del documento, la orden de registro no siempre es cronológica.</t>
  </si>
  <si>
    <t>Facultad de Humanidades y Artes, Facultad de Ciencias Sociales</t>
  </si>
  <si>
    <t>Se hicieron adendas al convenio en el 2015 y 2020.</t>
  </si>
  <si>
    <t>FICHA 2013-22-CH</t>
  </si>
  <si>
    <t>FICHA 2017-04-INT</t>
  </si>
  <si>
    <t>N/D (fecha probable: 03/DIC/2020)</t>
  </si>
  <si>
    <t>FICHA 2020-21-CU</t>
  </si>
  <si>
    <t>27 de mayo de 2019</t>
  </si>
  <si>
    <t>La fecha de firma consignada en el documento es incorrecta (dice 2016, cuando lo correcto es 2019).</t>
  </si>
  <si>
    <t>FICHA 2019-16-PA</t>
  </si>
  <si>
    <t>FICHA 2016-14-VAR</t>
  </si>
  <si>
    <t>FICHA 2020-18-ES</t>
  </si>
  <si>
    <t>2023-04-INT</t>
  </si>
  <si>
    <t>Implementación del proyecto "Formación y Certificación de Competencias del Profesorado Universitario (Etapa II)"</t>
  </si>
  <si>
    <t>31 de marzo 2023</t>
  </si>
  <si>
    <t>12 meses</t>
  </si>
  <si>
    <t>OEI: Gestora Avanzada de Proyectos de OEI-Honduras
UNAH: Dirección del Instituto de Profesionalización y Superación Docente</t>
  </si>
  <si>
    <t>Instituto de Farmacia y Alimentos de la Universidad de la Habana (IFAL-UH)</t>
  </si>
  <si>
    <t>Programa Académico y Profesional para las Américas (Academic and Professional Program for the Americas) (LASPAU)</t>
  </si>
  <si>
    <t>Instituto de Epidemiología Neurológica y Neurología Tropical de la Universidad de Limoges (Institut d’Epidémiologie et de Neurologie Tropicale) (IENT)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</si>
</sst>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40A]d&quot; de &quot;mmmm&quot; de &quot;yyyy"/>
  </numFmts>
  <fonts count="48" x14ac:knownFonts="1">
    <font>
      <sz val="11"/>
      <color theme="1"/>
      <name val="Calibri"/>
      <family val="2"/>
      <scheme val="minor"/>
    </font>
    <font>
      <sz val="11"/>
      <color theme="1"/>
      <name val="Calibri"/>
      <scheme val="minor"/>
    </font>
    <font>
      <b/>
      <sz val="11"/>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b/>
      <sz val="11"/>
      <color theme="0"/>
      <name val="Cambria"/>
      <family val="1"/>
      <scheme val="major"/>
    </font>
    <font>
      <b/>
      <sz val="28"/>
      <color theme="3"/>
      <name val="Calibri"/>
      <family val="2"/>
      <scheme val="minor"/>
    </font>
    <font>
      <b/>
      <sz val="10"/>
      <color theme="0"/>
      <name val="Calibri"/>
      <family val="2"/>
      <scheme val="minor"/>
    </font>
    <font>
      <b/>
      <sz val="11"/>
      <color theme="0"/>
      <name val="Calibri"/>
      <family val="2"/>
      <scheme val="minor"/>
    </font>
    <font>
      <b/>
      <sz val="18"/>
      <color theme="1"/>
      <name val="Calibri"/>
      <family val="2"/>
      <scheme val="minor"/>
    </font>
    <font>
      <sz val="24"/>
      <color theme="0"/>
      <name val="Calibri"/>
      <family val="2"/>
      <scheme val="minor"/>
    </font>
    <font>
      <u/>
      <sz val="11"/>
      <color theme="10"/>
      <name val="Calibri"/>
      <family val="2"/>
      <scheme val="minor"/>
    </font>
    <font>
      <b/>
      <sz val="10"/>
      <color theme="1"/>
      <name val="Calibri"/>
      <family val="2"/>
      <scheme val="minor"/>
    </font>
    <font>
      <sz val="11"/>
      <color theme="1"/>
      <name val="Calibri"/>
      <family val="2"/>
      <scheme val="minor"/>
    </font>
    <font>
      <b/>
      <sz val="24"/>
      <color theme="3"/>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1"/>
      <color theme="0"/>
      <name val="Calibri"/>
      <family val="2"/>
      <scheme val="minor"/>
    </font>
    <font>
      <sz val="14"/>
      <color theme="0"/>
      <name val="Calibri"/>
      <family val="2"/>
      <scheme val="minor"/>
    </font>
    <font>
      <sz val="14"/>
      <color theme="1"/>
      <name val="Calibri"/>
      <family val="2"/>
      <scheme val="minor"/>
    </font>
    <font>
      <b/>
      <sz val="10"/>
      <color rgb="FFFFFFFF"/>
      <name val="Open Sans"/>
      <family val="2"/>
    </font>
    <font>
      <sz val="8"/>
      <name val="Calibri"/>
      <family val="2"/>
      <scheme val="minor"/>
    </font>
    <font>
      <b/>
      <sz val="14"/>
      <color rgb="FF00B050"/>
      <name val="Calibri"/>
      <family val="2"/>
      <scheme val="minor"/>
    </font>
    <font>
      <b/>
      <sz val="14"/>
      <color rgb="FF00B0F0"/>
      <name val="Calibri"/>
      <family val="2"/>
      <scheme val="minor"/>
    </font>
    <font>
      <b/>
      <i/>
      <sz val="14"/>
      <color rgb="FF00B050"/>
      <name val="Calibri"/>
      <family val="2"/>
      <scheme val="minor"/>
    </font>
    <font>
      <b/>
      <sz val="14"/>
      <color rgb="FFFF0000"/>
      <name val="Calibri"/>
      <family val="2"/>
      <scheme val="minor"/>
    </font>
    <font>
      <b/>
      <sz val="14"/>
      <color theme="1"/>
      <name val="Calibri"/>
      <family val="2"/>
      <scheme val="minor"/>
    </font>
    <font>
      <b/>
      <sz val="9"/>
      <color indexed="81"/>
      <name val="Tahoma"/>
      <charset val="1"/>
    </font>
    <font>
      <b/>
      <sz val="10"/>
      <color theme="1"/>
      <name val="Calibri"/>
    </font>
    <font>
      <sz val="14"/>
      <color theme="0"/>
      <name val="Calibri"/>
    </font>
    <font>
      <u/>
      <sz val="11"/>
      <color theme="10"/>
      <name val="Calibri"/>
    </font>
    <font>
      <sz val="10"/>
      <color theme="1"/>
      <name val="Calibri"/>
    </font>
    <font>
      <sz val="10"/>
      <color theme="1"/>
      <name val="Calibri"/>
      <family val="2"/>
    </font>
    <font>
      <sz val="14"/>
      <color theme="0"/>
      <name val="Calibri"/>
      <family val="2"/>
    </font>
    <font>
      <b/>
      <sz val="16"/>
      <color theme="0"/>
      <name val="Calibri"/>
      <family val="2"/>
    </font>
    <font>
      <sz val="14"/>
      <color theme="1"/>
      <name val="Calibri"/>
      <family val="2"/>
    </font>
    <font>
      <sz val="10"/>
      <name val="Calibri"/>
    </font>
    <font>
      <sz val="10"/>
      <name val="Calibri"/>
      <family val="2"/>
    </font>
    <font>
      <sz val="10"/>
      <color theme="0"/>
      <name val="Calibri"/>
      <family val="2"/>
      <scheme val="minor"/>
    </font>
    <font>
      <sz val="11"/>
      <color theme="0"/>
      <name val="Cambria"/>
      <family val="1"/>
      <scheme val="major"/>
    </font>
  </fonts>
  <fills count="2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2E52A4"/>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rgb="FF002060"/>
        <bgColor rgb="FF002060"/>
      </patternFill>
    </fill>
    <fill>
      <patternFill patternType="solid">
        <fgColor rgb="FF0070C0"/>
        <bgColor rgb="FF0070C0"/>
      </patternFill>
    </fill>
    <fill>
      <patternFill patternType="solid">
        <fgColor rgb="FF00B0F0"/>
        <bgColor rgb="FF00B0F0"/>
      </patternFill>
    </fill>
    <fill>
      <patternFill patternType="solid">
        <fgColor rgb="FFFFFF00"/>
        <bgColor rgb="FFFFFF00"/>
      </patternFill>
    </fill>
    <fill>
      <patternFill patternType="solid">
        <fgColor rgb="FF92D050"/>
        <bgColor rgb="FF92D050"/>
      </patternFill>
    </fill>
    <fill>
      <patternFill patternType="solid">
        <fgColor rgb="FFE36C09"/>
        <bgColor rgb="FFE36C09"/>
      </patternFill>
    </fill>
    <fill>
      <patternFill patternType="solid">
        <fgColor rgb="FF7030A0"/>
        <bgColor rgb="FF7030A0"/>
      </patternFill>
    </fill>
    <fill>
      <patternFill patternType="solid">
        <fgColor theme="0"/>
        <bgColor theme="0"/>
      </patternFill>
    </fill>
    <fill>
      <patternFill patternType="solid">
        <fgColor rgb="FFFABF8F"/>
        <bgColor rgb="FFFABF8F"/>
      </patternFill>
    </fill>
    <fill>
      <patternFill patternType="solid">
        <fgColor rgb="FF92D050"/>
        <bgColor theme="0"/>
      </patternFill>
    </fill>
    <fill>
      <patternFill patternType="solid">
        <fgColor rgb="FF92D050"/>
        <bgColor indexed="64"/>
      </patternFill>
    </fill>
    <fill>
      <patternFill patternType="solid">
        <fgColor rgb="FFFFFF00"/>
        <bgColor theme="0"/>
      </patternFill>
    </fill>
    <fill>
      <patternFill patternType="solid">
        <fgColor rgb="FFFFFF00"/>
        <bgColor indexed="64"/>
      </patternFill>
    </fill>
  </fills>
  <borders count="4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top style="thin">
        <color theme="0" tint="-4.9989318521683403E-2"/>
      </top>
      <bottom/>
      <diagonal/>
    </border>
    <border>
      <left style="thin">
        <color theme="0"/>
      </left>
      <right style="thin">
        <color theme="0"/>
      </right>
      <top style="thin">
        <color theme="0"/>
      </top>
      <bottom style="thin">
        <color theme="0"/>
      </bottom>
      <diagonal/>
    </border>
    <border>
      <left style="thin">
        <color theme="0" tint="-4.9989318521683403E-2"/>
      </left>
      <right/>
      <top/>
      <bottom/>
      <diagonal/>
    </border>
    <border>
      <left/>
      <right style="thin">
        <color theme="0"/>
      </right>
      <top style="thin">
        <color theme="0"/>
      </top>
      <bottom style="thin">
        <color theme="0"/>
      </bottom>
      <diagonal/>
    </border>
    <border>
      <left/>
      <right style="thin">
        <color theme="0"/>
      </right>
      <top/>
      <bottom style="thick">
        <color theme="0"/>
      </bottom>
      <diagonal/>
    </border>
    <border>
      <left/>
      <right style="thin">
        <color theme="0" tint="-4.9989318521683403E-2"/>
      </right>
      <top style="thin">
        <color theme="0" tint="-4.9989318521683403E-2"/>
      </top>
      <bottom style="thin">
        <color theme="0" tint="-4.9989318521683403E-2"/>
      </bottom>
      <diagonal/>
    </border>
    <border>
      <left style="thin">
        <color theme="0"/>
      </left>
      <right/>
      <top/>
      <bottom/>
      <diagonal/>
    </border>
    <border>
      <left style="thin">
        <color theme="0" tint="-4.9989318521683403E-2"/>
      </left>
      <right/>
      <top style="thick">
        <color theme="0"/>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tint="-4.9989318521683403E-2"/>
      </left>
      <right/>
      <top style="thin">
        <color theme="0" tint="-4.9989318521683403E-2"/>
      </top>
      <bottom style="medium">
        <color theme="0"/>
      </bottom>
      <diagonal/>
    </border>
    <border>
      <left style="thin">
        <color theme="0" tint="-4.9989318521683403E-2"/>
      </left>
      <right style="thin">
        <color theme="0" tint="-4.9989318521683403E-2"/>
      </right>
      <top style="thin">
        <color theme="0" tint="-4.9989318521683403E-2"/>
      </top>
      <bottom style="medium">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style="thick">
        <color theme="0"/>
      </top>
      <bottom style="thin">
        <color theme="0" tint="-4.9989318521683403E-2"/>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theme="0"/>
      </left>
      <right/>
      <top style="thin">
        <color theme="0"/>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thin">
        <color theme="0"/>
      </left>
      <right style="thin">
        <color theme="0"/>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ck">
        <color theme="0"/>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thin">
        <color theme="4"/>
      </left>
      <right/>
      <top style="thin">
        <color theme="0"/>
      </top>
      <bottom/>
      <diagonal/>
    </border>
    <border>
      <left style="thin">
        <color theme="0"/>
      </left>
      <right style="thin">
        <color theme="4"/>
      </right>
      <top style="thin">
        <color theme="0"/>
      </top>
      <bottom/>
      <diagonal/>
    </border>
    <border>
      <left style="thin">
        <color rgb="FF000000"/>
      </left>
      <right style="thin">
        <color rgb="FF000000"/>
      </right>
      <top style="thin">
        <color rgb="FF000000"/>
      </top>
      <bottom style="thin">
        <color rgb="FF000000"/>
      </bottom>
      <diagonal/>
    </border>
    <border>
      <left style="thin">
        <color rgb="FFF2F2F2"/>
      </left>
      <right style="thin">
        <color rgb="FFF2F2F2"/>
      </right>
      <top style="thin">
        <color rgb="FFF2F2F2"/>
      </top>
      <bottom/>
      <diagonal/>
    </border>
    <border>
      <left style="thin">
        <color rgb="FFF2F2F2"/>
      </left>
      <right style="thin">
        <color rgb="FFF2F2F2"/>
      </right>
      <top/>
      <bottom style="thin">
        <color rgb="FFF2F2F2"/>
      </bottom>
      <diagonal/>
    </border>
    <border>
      <left style="thin">
        <color rgb="FFF2F2F2"/>
      </left>
      <right/>
      <top/>
      <bottom style="thin">
        <color rgb="FFF2F2F2"/>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F2F2F2"/>
      </right>
      <top style="thin">
        <color rgb="FFF2F2F2"/>
      </top>
      <bottom/>
      <diagonal/>
    </border>
  </borders>
  <cellStyleXfs count="3">
    <xf numFmtId="0" fontId="0" fillId="0" borderId="0"/>
    <xf numFmtId="9" fontId="17" fillId="0" borderId="0" applyFont="0" applyFill="0" applyBorder="0" applyAlignment="0" applyProtection="0"/>
    <xf numFmtId="0" fontId="15" fillId="0" borderId="0" applyNumberFormat="0" applyFill="0" applyBorder="0" applyAlignment="0" applyProtection="0"/>
  </cellStyleXfs>
  <cellXfs count="208">
    <xf numFmtId="0" fontId="0" fillId="0" borderId="0" xfId="0"/>
    <xf numFmtId="0" fontId="3" fillId="0" borderId="0" xfId="0" applyFont="1" applyAlignment="1">
      <alignment wrapText="1"/>
    </xf>
    <xf numFmtId="0" fontId="3" fillId="0" borderId="0" xfId="0" applyFont="1" applyAlignment="1">
      <alignment horizontal="center" vertical="center" wrapText="1"/>
    </xf>
    <xf numFmtId="0" fontId="3" fillId="0" borderId="0" xfId="0" applyFont="1"/>
    <xf numFmtId="0" fontId="3" fillId="0" borderId="0" xfId="0" applyFont="1" applyAlignment="1">
      <alignment horizontal="center" vertical="center"/>
    </xf>
    <xf numFmtId="0" fontId="2" fillId="0" borderId="0" xfId="0" applyFont="1"/>
    <xf numFmtId="0" fontId="6" fillId="0" borderId="0" xfId="0" applyFont="1"/>
    <xf numFmtId="2" fontId="0" fillId="0" borderId="0" xfId="0" applyNumberFormat="1"/>
    <xf numFmtId="0" fontId="0" fillId="0" borderId="0" xfId="0" applyAlignment="1">
      <alignment horizontal="center"/>
    </xf>
    <xf numFmtId="49" fontId="4" fillId="0" borderId="0" xfId="0" applyNumberFormat="1" applyFont="1" applyAlignment="1">
      <alignment horizontal="center"/>
    </xf>
    <xf numFmtId="0" fontId="0" fillId="0" borderId="0" xfId="0" applyAlignment="1">
      <alignment horizontal="left"/>
    </xf>
    <xf numFmtId="0" fontId="0" fillId="0" borderId="0" xfId="0" applyAlignment="1">
      <alignment horizontal="righ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13" fillId="0" borderId="0" xfId="0" applyFont="1"/>
    <xf numFmtId="0" fontId="0" fillId="2" borderId="0" xfId="0" applyFill="1"/>
    <xf numFmtId="0" fontId="0" fillId="0" borderId="0" xfId="0" quotePrefix="1" applyAlignment="1">
      <alignment horizontal="right" vertical="center"/>
    </xf>
    <xf numFmtId="0" fontId="2" fillId="0" borderId="0" xfId="0" applyFont="1" applyAlignment="1">
      <alignment horizontal="right"/>
    </xf>
    <xf numFmtId="165" fontId="20" fillId="4" borderId="2" xfId="1" applyNumberFormat="1" applyFont="1" applyFill="1" applyBorder="1" applyAlignment="1">
      <alignment horizontal="center" vertical="center" wrapText="1"/>
    </xf>
    <xf numFmtId="49" fontId="21" fillId="6" borderId="1" xfId="0" applyNumberFormat="1" applyFont="1" applyFill="1" applyBorder="1" applyAlignment="1">
      <alignment horizontal="left" vertical="center"/>
    </xf>
    <xf numFmtId="49" fontId="22" fillId="7" borderId="4" xfId="0" applyNumberFormat="1" applyFont="1" applyFill="1" applyBorder="1" applyAlignment="1">
      <alignment horizontal="left" vertical="center"/>
    </xf>
    <xf numFmtId="49" fontId="22" fillId="7" borderId="7" xfId="0" applyNumberFormat="1" applyFont="1" applyFill="1" applyBorder="1" applyAlignment="1">
      <alignment horizontal="left" vertical="center"/>
    </xf>
    <xf numFmtId="165" fontId="20" fillId="4" borderId="5" xfId="1" applyNumberFormat="1" applyFont="1" applyFill="1" applyBorder="1" applyAlignment="1">
      <alignment horizontal="center" vertical="center" wrapText="1"/>
    </xf>
    <xf numFmtId="0" fontId="23" fillId="3" borderId="6" xfId="0" applyFont="1" applyFill="1" applyBorder="1" applyAlignment="1">
      <alignment horizontal="center"/>
    </xf>
    <xf numFmtId="9" fontId="23" fillId="3" borderId="6" xfId="1" applyFont="1" applyFill="1" applyBorder="1" applyAlignment="1">
      <alignment horizontal="center"/>
    </xf>
    <xf numFmtId="49" fontId="21" fillId="6" borderId="1" xfId="0" applyNumberFormat="1" applyFont="1" applyFill="1" applyBorder="1" applyAlignment="1">
      <alignment horizontal="left" vertical="center" wrapText="1"/>
    </xf>
    <xf numFmtId="0" fontId="12" fillId="2" borderId="9" xfId="0" applyFont="1" applyFill="1" applyBorder="1" applyAlignment="1">
      <alignment horizontal="center" vertical="center"/>
    </xf>
    <xf numFmtId="9" fontId="20" fillId="4" borderId="2" xfId="1" applyFont="1" applyFill="1" applyBorder="1" applyAlignment="1">
      <alignment horizontal="center" vertical="center" wrapText="1"/>
    </xf>
    <xf numFmtId="9" fontId="20" fillId="4" borderId="5" xfId="1" applyFont="1" applyFill="1" applyBorder="1" applyAlignment="1">
      <alignment horizontal="center" vertical="center" wrapText="1"/>
    </xf>
    <xf numFmtId="49" fontId="21" fillId="6" borderId="3" xfId="0" applyNumberFormat="1" applyFont="1" applyFill="1" applyBorder="1" applyAlignment="1">
      <alignment horizontal="left" vertical="center" wrapText="1"/>
    </xf>
    <xf numFmtId="49" fontId="21" fillId="7" borderId="6" xfId="0" applyNumberFormat="1" applyFont="1" applyFill="1" applyBorder="1" applyAlignment="1">
      <alignment horizontal="left" vertical="center"/>
    </xf>
    <xf numFmtId="49" fontId="21" fillId="6" borderId="12" xfId="0" applyNumberFormat="1" applyFont="1" applyFill="1" applyBorder="1" applyAlignment="1">
      <alignment horizontal="left" vertical="center"/>
    </xf>
    <xf numFmtId="49" fontId="21" fillId="6" borderId="5" xfId="0" applyNumberFormat="1" applyFont="1" applyFill="1" applyBorder="1" applyAlignment="1">
      <alignment horizontal="left" vertical="center"/>
    </xf>
    <xf numFmtId="0" fontId="1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0" borderId="0" xfId="0" applyFont="1" applyAlignment="1">
      <alignment horizontal="center" vertical="center"/>
    </xf>
    <xf numFmtId="49" fontId="21" fillId="0" borderId="0" xfId="0" applyNumberFormat="1" applyFont="1" applyAlignment="1">
      <alignment horizontal="left" vertical="center"/>
    </xf>
    <xf numFmtId="0" fontId="19" fillId="0" borderId="0" xfId="0" applyFont="1" applyAlignment="1">
      <alignment horizontal="center" vertical="center" wrapText="1"/>
    </xf>
    <xf numFmtId="49" fontId="21" fillId="0" borderId="0" xfId="0" applyNumberFormat="1" applyFont="1" applyAlignment="1">
      <alignment horizontal="left" vertical="center" wrapText="1"/>
    </xf>
    <xf numFmtId="49" fontId="22" fillId="0" borderId="0" xfId="0" applyNumberFormat="1" applyFont="1" applyAlignment="1">
      <alignment horizontal="left" vertical="center"/>
    </xf>
    <xf numFmtId="0" fontId="23" fillId="0" borderId="0" xfId="0" applyFont="1" applyAlignment="1">
      <alignment horizontal="center"/>
    </xf>
    <xf numFmtId="0" fontId="22" fillId="0" borderId="0" xfId="0" applyFont="1" applyAlignment="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24" fillId="3" borderId="17" xfId="0" applyFont="1" applyFill="1" applyBorder="1" applyAlignment="1">
      <alignment horizontal="center"/>
    </xf>
    <xf numFmtId="9" fontId="24" fillId="3" borderId="17" xfId="0" applyNumberFormat="1" applyFont="1" applyFill="1" applyBorder="1" applyAlignment="1">
      <alignment horizontal="center"/>
    </xf>
    <xf numFmtId="49" fontId="22" fillId="7" borderId="15" xfId="0" applyNumberFormat="1" applyFont="1" applyFill="1" applyBorder="1" applyAlignment="1">
      <alignment horizontal="left" vertical="center"/>
    </xf>
    <xf numFmtId="49" fontId="21" fillId="6" borderId="19" xfId="0" applyNumberFormat="1" applyFont="1" applyFill="1" applyBorder="1" applyAlignment="1">
      <alignment horizontal="left" vertical="center"/>
    </xf>
    <xf numFmtId="165" fontId="20" fillId="4" borderId="18" xfId="1" applyNumberFormat="1" applyFont="1" applyFill="1" applyBorder="1" applyAlignment="1">
      <alignment horizontal="center" vertical="center" wrapText="1"/>
    </xf>
    <xf numFmtId="0" fontId="0" fillId="8" borderId="20" xfId="0" applyFill="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wrapText="1"/>
    </xf>
    <xf numFmtId="0" fontId="27" fillId="0" borderId="0" xfId="0" applyFont="1" applyAlignment="1">
      <alignment horizontal="center" vertical="center" wrapText="1"/>
    </xf>
    <xf numFmtId="0" fontId="27" fillId="0" borderId="0" xfId="0" applyFont="1" applyAlignment="1">
      <alignment wrapText="1"/>
    </xf>
    <xf numFmtId="0" fontId="16" fillId="0" borderId="0" xfId="0" applyFont="1" applyAlignment="1">
      <alignment horizontal="center" vertical="center" wrapText="1"/>
    </xf>
    <xf numFmtId="0" fontId="28" fillId="10" borderId="0" xfId="0" applyFont="1" applyFill="1" applyAlignment="1">
      <alignment horizontal="center" vertical="center" wrapText="1"/>
    </xf>
    <xf numFmtId="0" fontId="16" fillId="0" borderId="0" xfId="0" applyFont="1" applyAlignment="1">
      <alignment wrapText="1"/>
    </xf>
    <xf numFmtId="0" fontId="5" fillId="0" borderId="0" xfId="0" applyFont="1" applyAlignment="1">
      <alignment wrapText="1"/>
    </xf>
    <xf numFmtId="0" fontId="11" fillId="2"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18" fillId="3" borderId="0" xfId="0" applyFont="1" applyFill="1" applyAlignment="1">
      <alignment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27" xfId="0" applyFill="1" applyBorder="1" applyAlignment="1">
      <alignment horizontal="center" vertical="center"/>
    </xf>
    <xf numFmtId="0" fontId="22" fillId="0" borderId="0" xfId="0" applyFont="1" applyAlignment="1">
      <alignment vertical="center" wrapText="1"/>
    </xf>
    <xf numFmtId="1" fontId="23" fillId="3" borderId="8" xfId="0" applyNumberFormat="1" applyFont="1" applyFill="1" applyBorder="1" applyAlignment="1">
      <alignment horizontal="center" vertical="center"/>
    </xf>
    <xf numFmtId="49" fontId="21" fillId="6" borderId="2" xfId="0" applyNumberFormat="1" applyFont="1" applyFill="1" applyBorder="1" applyAlignment="1">
      <alignment horizontal="left" vertical="center"/>
    </xf>
    <xf numFmtId="49" fontId="21" fillId="11" borderId="1" xfId="0" applyNumberFormat="1" applyFont="1" applyFill="1" applyBorder="1" applyAlignment="1">
      <alignment horizontal="left" vertical="center"/>
    </xf>
    <xf numFmtId="0" fontId="19" fillId="8"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49" fontId="21" fillId="11" borderId="2" xfId="0" applyNumberFormat="1" applyFont="1" applyFill="1" applyBorder="1" applyAlignment="1">
      <alignment horizontal="left" vertical="center"/>
    </xf>
    <xf numFmtId="0" fontId="2" fillId="3" borderId="6" xfId="0" applyFont="1" applyFill="1" applyBorder="1" applyAlignment="1">
      <alignment horizontal="center" vertical="center"/>
    </xf>
    <xf numFmtId="0" fontId="12" fillId="12" borderId="29" xfId="0" applyFont="1" applyFill="1" applyBorder="1" applyAlignment="1">
      <alignment horizontal="center" vertical="center"/>
    </xf>
    <xf numFmtId="49" fontId="21" fillId="6" borderId="2" xfId="0" applyNumberFormat="1" applyFont="1" applyFill="1" applyBorder="1" applyAlignment="1">
      <alignment horizontal="center" vertical="center"/>
    </xf>
    <xf numFmtId="9" fontId="23" fillId="3" borderId="6" xfId="1" applyFont="1" applyFill="1" applyBorder="1" applyAlignment="1">
      <alignment horizontal="center" vertical="center"/>
    </xf>
    <xf numFmtId="49" fontId="22" fillId="7" borderId="22" xfId="0" applyNumberFormat="1" applyFont="1" applyFill="1" applyBorder="1" applyAlignment="1">
      <alignment horizontal="left" vertical="center"/>
    </xf>
    <xf numFmtId="0" fontId="12" fillId="2" borderId="21" xfId="0" applyFont="1" applyFill="1" applyBorder="1" applyAlignment="1">
      <alignment horizontal="center" vertical="center"/>
    </xf>
    <xf numFmtId="0" fontId="12" fillId="2" borderId="28" xfId="0" applyFont="1" applyFill="1" applyBorder="1" applyAlignment="1">
      <alignment horizontal="center" vertical="center"/>
    </xf>
    <xf numFmtId="49" fontId="21" fillId="6" borderId="5" xfId="0" applyNumberFormat="1" applyFont="1" applyFill="1" applyBorder="1" applyAlignment="1">
      <alignment horizontal="center" vertical="center"/>
    </xf>
    <xf numFmtId="49" fontId="22" fillId="7" borderId="33" xfId="0" applyNumberFormat="1" applyFont="1" applyFill="1" applyBorder="1" applyAlignment="1">
      <alignment horizontal="left" vertical="center"/>
    </xf>
    <xf numFmtId="0" fontId="24" fillId="3" borderId="33" xfId="0" applyFont="1" applyFill="1" applyBorder="1" applyAlignment="1">
      <alignment horizontal="center"/>
    </xf>
    <xf numFmtId="9" fontId="24" fillId="3" borderId="33" xfId="0" applyNumberFormat="1" applyFont="1" applyFill="1" applyBorder="1" applyAlignment="1">
      <alignment horizontal="center"/>
    </xf>
    <xf numFmtId="49" fontId="21" fillId="6" borderId="34" xfId="0" applyNumberFormat="1" applyFont="1" applyFill="1" applyBorder="1" applyAlignment="1">
      <alignment horizontal="left" vertical="center"/>
    </xf>
    <xf numFmtId="49" fontId="21" fillId="11" borderId="5" xfId="0" applyNumberFormat="1" applyFont="1" applyFill="1" applyBorder="1" applyAlignment="1">
      <alignment horizontal="left" vertical="center"/>
    </xf>
    <xf numFmtId="49" fontId="21" fillId="11" borderId="34" xfId="0" applyNumberFormat="1" applyFont="1" applyFill="1" applyBorder="1" applyAlignment="1">
      <alignment horizontal="left" vertical="center"/>
    </xf>
    <xf numFmtId="0" fontId="19" fillId="8" borderId="5"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0" fillId="0" borderId="0" xfId="0" applyFont="1"/>
    <xf numFmtId="49" fontId="0" fillId="0" borderId="0" xfId="0" quotePrefix="1" applyNumberFormat="1" applyAlignment="1">
      <alignment horizontal="right" vertical="center"/>
    </xf>
    <xf numFmtId="0" fontId="31"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3" fillId="0" borderId="0" xfId="0" applyFont="1" applyAlignment="1">
      <alignment horizontal="center"/>
    </xf>
    <xf numFmtId="0" fontId="4" fillId="0" borderId="0" xfId="0" applyFont="1" applyAlignment="1">
      <alignment horizontal="center"/>
    </xf>
    <xf numFmtId="0" fontId="22" fillId="2" borderId="11"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xf>
    <xf numFmtId="0" fontId="22" fillId="5" borderId="6" xfId="0" applyFont="1" applyFill="1" applyBorder="1" applyAlignment="1">
      <alignment horizontal="center" vertical="center" wrapText="1"/>
    </xf>
    <xf numFmtId="0" fontId="22" fillId="2" borderId="0" xfId="0" applyFont="1" applyFill="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10" fontId="22" fillId="5" borderId="6" xfId="0" applyNumberFormat="1" applyFont="1" applyFill="1" applyBorder="1" applyAlignment="1">
      <alignment horizontal="center" vertical="center" wrapText="1"/>
    </xf>
    <xf numFmtId="0" fontId="36" fillId="0" borderId="39" xfId="0" applyFont="1" applyBorder="1" applyAlignment="1">
      <alignment horizontal="center" vertical="center" wrapText="1"/>
    </xf>
    <xf numFmtId="0" fontId="37" fillId="14" borderId="41" xfId="0" applyFont="1" applyFill="1" applyBorder="1" applyAlignment="1">
      <alignment horizontal="center" vertical="center" wrapText="1"/>
    </xf>
    <xf numFmtId="0" fontId="39" fillId="0" borderId="39" xfId="0" applyFont="1" applyBorder="1" applyAlignment="1">
      <alignment horizontal="center" vertical="center" wrapText="1"/>
    </xf>
    <xf numFmtId="0" fontId="39" fillId="0" borderId="39" xfId="0" quotePrefix="1" applyFont="1" applyBorder="1" applyAlignment="1">
      <alignment horizontal="center" vertical="center" wrapText="1"/>
    </xf>
    <xf numFmtId="0" fontId="39" fillId="16" borderId="39" xfId="0" applyFont="1" applyFill="1" applyBorder="1" applyAlignment="1">
      <alignment horizontal="center" vertical="center" wrapText="1"/>
    </xf>
    <xf numFmtId="0" fontId="37" fillId="14" borderId="43" xfId="0" applyFont="1" applyFill="1" applyBorder="1" applyAlignment="1">
      <alignment horizontal="center" vertical="center" wrapText="1"/>
    </xf>
    <xf numFmtId="0" fontId="36" fillId="0" borderId="0" xfId="0" applyFont="1" applyAlignment="1">
      <alignment horizontal="center" vertical="center" wrapText="1"/>
    </xf>
    <xf numFmtId="14" fontId="39" fillId="0" borderId="39" xfId="0" applyNumberFormat="1" applyFont="1" applyBorder="1" applyAlignment="1">
      <alignment horizontal="center" vertical="center" wrapText="1"/>
    </xf>
    <xf numFmtId="0" fontId="39" fillId="17" borderId="39" xfId="0" applyFont="1" applyFill="1" applyBorder="1" applyAlignment="1">
      <alignment horizontal="center" vertical="center" wrapText="1"/>
    </xf>
    <xf numFmtId="164" fontId="39" fillId="0" borderId="39" xfId="0" applyNumberFormat="1" applyFont="1" applyBorder="1" applyAlignment="1">
      <alignment horizontal="center" vertical="center" wrapText="1"/>
    </xf>
    <xf numFmtId="166" fontId="39" fillId="0" borderId="39" xfId="0" applyNumberFormat="1" applyFont="1" applyBorder="1" applyAlignment="1">
      <alignment horizontal="center" vertical="center" wrapText="1"/>
    </xf>
    <xf numFmtId="0" fontId="39" fillId="18" borderId="39" xfId="0" applyFont="1" applyFill="1" applyBorder="1" applyAlignment="1">
      <alignment horizontal="center" vertical="center" wrapText="1"/>
    </xf>
    <xf numFmtId="0" fontId="39" fillId="0" borderId="39" xfId="0" applyFont="1" applyBorder="1" applyAlignment="1">
      <alignment horizontal="center" vertical="center"/>
    </xf>
    <xf numFmtId="0" fontId="36" fillId="0" borderId="0" xfId="0" applyFont="1" applyAlignment="1">
      <alignment horizontal="center" vertical="center"/>
    </xf>
    <xf numFmtId="0" fontId="36" fillId="16" borderId="0" xfId="0" applyFont="1" applyFill="1" applyAlignment="1">
      <alignment horizontal="center" vertical="center"/>
    </xf>
    <xf numFmtId="0" fontId="36" fillId="19" borderId="0" xfId="0" applyFont="1" applyFill="1" applyAlignment="1">
      <alignment horizontal="center" vertical="center"/>
    </xf>
    <xf numFmtId="0" fontId="15" fillId="0" borderId="39" xfId="2" applyBorder="1" applyAlignment="1">
      <alignment horizontal="center" vertical="center" wrapText="1"/>
    </xf>
    <xf numFmtId="0" fontId="36" fillId="0" borderId="39" xfId="0" applyFont="1" applyBorder="1" applyAlignment="1">
      <alignment horizontal="center" vertical="center"/>
    </xf>
    <xf numFmtId="0" fontId="39" fillId="17" borderId="39" xfId="0" applyFont="1" applyFill="1" applyBorder="1" applyAlignment="1">
      <alignment horizontal="center" vertical="center"/>
    </xf>
    <xf numFmtId="0" fontId="36" fillId="17" borderId="39" xfId="0" applyFont="1" applyFill="1" applyBorder="1" applyAlignment="1">
      <alignment horizontal="center" vertical="center" wrapText="1"/>
    </xf>
    <xf numFmtId="14" fontId="39" fillId="17" borderId="39" xfId="0" applyNumberFormat="1" applyFont="1" applyFill="1" applyBorder="1" applyAlignment="1">
      <alignment horizontal="center" vertical="center" wrapText="1"/>
    </xf>
    <xf numFmtId="0" fontId="36" fillId="16" borderId="39" xfId="0" applyFont="1" applyFill="1" applyBorder="1" applyAlignment="1">
      <alignment horizontal="center" vertical="center" wrapText="1"/>
    </xf>
    <xf numFmtId="0" fontId="40" fillId="0" borderId="39" xfId="0" applyFont="1" applyBorder="1" applyAlignment="1">
      <alignment horizontal="center" vertical="center" wrapText="1"/>
    </xf>
    <xf numFmtId="0" fontId="39" fillId="0" borderId="44" xfId="0" applyFont="1" applyBorder="1" applyAlignment="1">
      <alignment horizontal="center" vertical="center" wrapText="1"/>
    </xf>
    <xf numFmtId="17" fontId="39" fillId="0" borderId="39" xfId="0" applyNumberFormat="1" applyFont="1" applyBorder="1" applyAlignment="1">
      <alignment horizontal="center" vertical="center" wrapText="1"/>
    </xf>
    <xf numFmtId="0" fontId="36" fillId="20" borderId="39" xfId="0" applyFont="1" applyFill="1" applyBorder="1" applyAlignment="1">
      <alignment horizontal="center" vertical="center" wrapText="1"/>
    </xf>
    <xf numFmtId="0" fontId="39" fillId="20" borderId="39" xfId="0" applyFont="1" applyFill="1" applyBorder="1" applyAlignment="1">
      <alignment horizontal="center" vertical="center" wrapText="1"/>
    </xf>
    <xf numFmtId="0" fontId="36" fillId="21" borderId="39" xfId="0" applyFont="1" applyFill="1" applyBorder="1" applyAlignment="1">
      <alignment horizontal="center" vertical="center" wrapText="1"/>
    </xf>
    <xf numFmtId="0" fontId="39" fillId="0" borderId="39" xfId="0" applyFont="1" applyBorder="1" applyAlignment="1">
      <alignment horizontal="center" vertical="top" wrapText="1"/>
    </xf>
    <xf numFmtId="0" fontId="39" fillId="0" borderId="39" xfId="0" applyFont="1" applyBorder="1" applyAlignment="1">
      <alignment horizontal="center" wrapText="1"/>
    </xf>
    <xf numFmtId="0" fontId="37" fillId="14" borderId="40" xfId="0" applyFont="1" applyFill="1" applyBorder="1" applyAlignment="1">
      <alignment horizontal="center" vertical="center" wrapText="1"/>
    </xf>
    <xf numFmtId="0" fontId="39" fillId="0" borderId="45" xfId="0" applyFont="1" applyBorder="1" applyAlignment="1">
      <alignment horizontal="center" vertical="center" wrapText="1"/>
    </xf>
    <xf numFmtId="0" fontId="39" fillId="0" borderId="20" xfId="0" applyFont="1" applyBorder="1" applyAlignment="1">
      <alignment horizontal="center" vertical="center" wrapText="1"/>
    </xf>
    <xf numFmtId="0" fontId="41" fillId="14" borderId="43" xfId="0" applyFont="1" applyFill="1" applyBorder="1" applyAlignment="1">
      <alignment horizontal="center" vertical="center" wrapText="1"/>
    </xf>
    <xf numFmtId="0" fontId="41" fillId="14" borderId="40" xfId="0" applyFont="1" applyFill="1" applyBorder="1" applyAlignment="1">
      <alignment horizontal="center" vertical="center" wrapText="1"/>
    </xf>
    <xf numFmtId="0" fontId="43" fillId="15" borderId="42" xfId="0" applyFont="1" applyFill="1" applyBorder="1" applyAlignment="1">
      <alignment horizontal="center" vertical="center" wrapText="1"/>
    </xf>
    <xf numFmtId="0" fontId="42" fillId="13" borderId="46" xfId="0" applyFont="1" applyFill="1" applyBorder="1" applyAlignment="1">
      <alignment horizontal="center" vertical="center" wrapText="1"/>
    </xf>
    <xf numFmtId="0" fontId="40" fillId="17" borderId="39" xfId="0" applyFont="1" applyFill="1" applyBorder="1" applyAlignment="1">
      <alignment horizontal="center" vertical="center" wrapText="1"/>
    </xf>
    <xf numFmtId="0" fontId="36" fillId="22" borderId="39" xfId="0" applyFont="1" applyFill="1" applyBorder="1" applyAlignment="1">
      <alignment horizontal="center" vertical="center" wrapText="1"/>
    </xf>
    <xf numFmtId="0" fontId="39" fillId="23" borderId="39"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9" fillId="25" borderId="39" xfId="0" applyFont="1" applyFill="1" applyBorder="1" applyAlignment="1">
      <alignment horizontal="center" vertical="center" wrapText="1"/>
    </xf>
    <xf numFmtId="0" fontId="44" fillId="0" borderId="39" xfId="0" applyFont="1" applyBorder="1" applyAlignment="1">
      <alignment horizontal="center" vertical="center" wrapText="1"/>
    </xf>
    <xf numFmtId="0" fontId="44" fillId="0" borderId="39" xfId="0" applyFont="1" applyBorder="1" applyAlignment="1">
      <alignment horizontal="center" vertical="center"/>
    </xf>
    <xf numFmtId="0" fontId="45" fillId="0" borderId="39"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5"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20" xfId="0" applyFont="1" applyBorder="1" applyAlignment="1">
      <alignment horizontal="center" vertical="center" wrapText="1"/>
    </xf>
    <xf numFmtId="0" fontId="4" fillId="0" borderId="0" xfId="0" applyFont="1" applyAlignment="1">
      <alignment horizontal="center" vertical="distributed"/>
    </xf>
    <xf numFmtId="0" fontId="4" fillId="0" borderId="0" xfId="0" applyFont="1"/>
    <xf numFmtId="0" fontId="36" fillId="17" borderId="0" xfId="0" applyFont="1" applyFill="1" applyAlignment="1">
      <alignment horizontal="center" vertical="center" wrapText="1"/>
    </xf>
    <xf numFmtId="0" fontId="38"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6" fillId="0" borderId="0" xfId="0" applyFont="1" applyAlignment="1">
      <alignment horizontal="center" vertical="center"/>
    </xf>
    <xf numFmtId="0" fontId="25" fillId="0" borderId="0" xfId="0" applyFont="1"/>
    <xf numFmtId="0" fontId="46" fillId="0" borderId="0" xfId="0" applyFont="1"/>
    <xf numFmtId="0" fontId="47" fillId="2" borderId="0" xfId="0" applyFont="1" applyFill="1" applyAlignment="1" applyProtection="1">
      <alignment horizontal="center" vertical="center" wrapText="1"/>
      <protection locked="0"/>
    </xf>
    <xf numFmtId="0" fontId="40" fillId="25" borderId="39" xfId="0" applyFont="1" applyFill="1" applyBorder="1" applyAlignment="1">
      <alignment horizontal="center" vertical="center" wrapText="1"/>
    </xf>
    <xf numFmtId="0" fontId="10" fillId="3" borderId="0" xfId="0" applyFont="1" applyFill="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8" fillId="3" borderId="0" xfId="0" applyFont="1" applyFill="1" applyAlignment="1">
      <alignment horizontal="center" vertical="center"/>
    </xf>
    <xf numFmtId="0" fontId="25" fillId="9" borderId="30" xfId="0" applyFont="1" applyFill="1" applyBorder="1" applyAlignment="1">
      <alignment horizontal="center" vertical="center"/>
    </xf>
    <xf numFmtId="0" fontId="25" fillId="9" borderId="31" xfId="0" applyFont="1" applyFill="1" applyBorder="1" applyAlignment="1">
      <alignment horizontal="center" vertical="center"/>
    </xf>
    <xf numFmtId="0" fontId="25" fillId="9" borderId="32" xfId="0" applyFont="1" applyFill="1" applyBorder="1" applyAlignment="1">
      <alignment horizontal="center"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1" xfId="0" applyFont="1" applyFill="1" applyBorder="1" applyAlignment="1">
      <alignment horizontal="center" vertical="center"/>
    </xf>
    <xf numFmtId="0" fontId="22" fillId="2" borderId="0" xfId="0" applyFont="1" applyFill="1" applyAlignment="1">
      <alignment horizontal="center" vertical="center"/>
    </xf>
    <xf numFmtId="0" fontId="14" fillId="2" borderId="0" xfId="0" applyFont="1" applyFill="1" applyAlignment="1">
      <alignment horizontal="center"/>
    </xf>
    <xf numFmtId="0" fontId="36" fillId="17"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0" fontId="36" fillId="17" borderId="0" xfId="0" applyFont="1" applyFill="1" applyBorder="1" applyAlignment="1">
      <alignment horizontal="center" vertical="center"/>
    </xf>
    <xf numFmtId="0" fontId="16" fillId="0" borderId="0" xfId="0" applyFont="1" applyBorder="1" applyAlignment="1">
      <alignment horizontal="center" vertical="center" wrapText="1"/>
    </xf>
    <xf numFmtId="0" fontId="36" fillId="19" borderId="0" xfId="0" applyFont="1" applyFill="1" applyBorder="1" applyAlignment="1">
      <alignment horizontal="center" vertical="center"/>
    </xf>
    <xf numFmtId="0" fontId="36" fillId="18" borderId="0" xfId="0" applyFont="1" applyFill="1" applyBorder="1" applyAlignment="1">
      <alignment horizontal="center" vertical="center" wrapText="1"/>
    </xf>
    <xf numFmtId="0" fontId="36" fillId="16" borderId="0" xfId="0" applyFont="1" applyFill="1" applyBorder="1" applyAlignment="1">
      <alignment horizontal="center" vertical="center"/>
    </xf>
    <xf numFmtId="0" fontId="4"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4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xf numFmtId="0" fontId="36" fillId="0" borderId="39" xfId="0" applyFont="1" applyFill="1" applyBorder="1" applyAlignment="1">
      <alignment horizontal="center" vertical="center" wrapText="1"/>
    </xf>
    <xf numFmtId="0" fontId="39" fillId="0" borderId="39" xfId="0" applyFont="1" applyFill="1" applyBorder="1" applyAlignment="1">
      <alignment horizontal="center" vertical="center" wrapText="1"/>
    </xf>
    <xf numFmtId="0" fontId="44" fillId="0" borderId="39" xfId="0" applyFont="1" applyFill="1" applyBorder="1" applyAlignment="1">
      <alignment horizontal="center" vertical="center" wrapText="1"/>
    </xf>
    <xf numFmtId="0" fontId="36" fillId="23" borderId="39" xfId="0" applyFont="1" applyFill="1" applyBorder="1" applyAlignment="1">
      <alignment horizontal="center" vertical="center" wrapText="1"/>
    </xf>
  </cellXfs>
  <cellStyles count="3">
    <cellStyle name="Hyperlink" xfId="2" builtinId="8"/>
    <cellStyle name="Normal" xfId="0" builtinId="0"/>
    <cellStyle name="Percent" xfId="1" builtinId="5"/>
  </cellStyles>
  <dxfs count="27">
    <dxf>
      <font>
        <b val="0"/>
        <i val="0"/>
        <strike val="0"/>
        <condense val="0"/>
        <extend val="0"/>
        <outline val="0"/>
        <shadow val="0"/>
        <u val="none"/>
        <vertAlign val="baseline"/>
        <sz val="12"/>
        <color theme="1"/>
        <name val="Calibri"/>
        <scheme val="minor"/>
      </font>
      <numFmt numFmtId="165" formatCode="0.0%"/>
      <fill>
        <patternFill patternType="solid">
          <fgColor indexed="64"/>
          <bgColor rgb="FF00B0F0"/>
        </patternFill>
      </fill>
      <alignment horizontal="center" vertical="center" textRotation="0" wrapText="1" indent="0" justifyLastLine="0" shrinkToFit="0" readingOrder="0"/>
      <border diagonalUp="0" diagonalDown="0" outline="0">
        <left/>
        <right/>
        <top style="thin">
          <color theme="0" tint="-4.9989318521683403E-2"/>
        </top>
        <bottom style="thin">
          <color theme="0" tint="-4.9989318521683403E-2"/>
        </bottom>
      </border>
    </dxf>
    <dxf>
      <font>
        <b val="0"/>
        <i val="0"/>
        <strike val="0"/>
        <condense val="0"/>
        <extend val="0"/>
        <outline val="0"/>
        <shadow val="0"/>
        <u val="none"/>
        <vertAlign val="baseline"/>
        <sz val="12"/>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theme="0" tint="-4.9989318521683403E-2"/>
        </left>
        <right/>
        <top style="thin">
          <color theme="0" tint="-4.9989318521683403E-2"/>
        </top>
        <bottom/>
      </border>
    </dxf>
    <dxf>
      <font>
        <b val="0"/>
        <i val="0"/>
        <strike val="0"/>
        <condense val="0"/>
        <extend val="0"/>
        <outline val="0"/>
        <shadow val="0"/>
        <u val="none"/>
        <vertAlign val="baseline"/>
        <sz val="12"/>
        <color theme="0"/>
        <name val="Calibri"/>
        <scheme val="minor"/>
      </font>
      <numFmt numFmtId="30" formatCode="@"/>
      <fill>
        <patternFill patternType="solid">
          <fgColor indexed="64"/>
          <bgColor rgb="FF002060"/>
        </patternFill>
      </fill>
      <alignment horizontal="left" vertical="center" textRotation="0" wrapText="0" indent="0" justifyLastLine="0" shrinkToFit="0" readingOrder="0"/>
      <border diagonalUp="0" diagonalDown="0" outline="0">
        <left style="thin">
          <color theme="0" tint="-4.9989318521683403E-2"/>
        </left>
        <right/>
        <top style="thin">
          <color theme="0" tint="-4.9989318521683403E-2"/>
        </top>
        <bottom/>
      </border>
    </dxf>
    <dxf>
      <border outline="0">
        <top style="thin">
          <color theme="0"/>
        </top>
        <bottom style="thin">
          <color theme="0" tint="-4.9989318521683403E-2"/>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solid">
          <fgColor indexed="64"/>
          <bgColor rgb="FF00B0F0"/>
        </patternFill>
      </fill>
      <alignment horizontal="center" vertical="center" textRotation="0" wrapText="1" indent="0" justifyLastLine="0" shrinkToFit="0" readingOrder="0"/>
      <border diagonalUp="0" diagonalDown="0" outline="0">
        <left/>
        <right/>
        <top style="thin">
          <color theme="0" tint="-4.9989318521683403E-2"/>
        </top>
        <bottom/>
      </border>
    </dxf>
    <dxf>
      <font>
        <b val="0"/>
        <i val="0"/>
        <strike val="0"/>
        <condense val="0"/>
        <extend val="0"/>
        <outline val="0"/>
        <shadow val="0"/>
        <u val="none"/>
        <vertAlign val="baseline"/>
        <sz val="12"/>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0"/>
        <name val="Calibri"/>
        <scheme val="minor"/>
      </font>
      <numFmt numFmtId="30" formatCode="@"/>
      <fill>
        <patternFill patternType="solid">
          <fgColor indexed="64"/>
          <bgColor rgb="FF002060"/>
        </patternFill>
      </fill>
      <alignment horizontal="left" vertical="center" textRotation="0" wrapText="0" indent="0" justifyLastLine="0" shrinkToFit="0" readingOrder="0"/>
      <border diagonalUp="0" diagonalDown="0" outline="0">
        <left style="thin">
          <color theme="0" tint="-4.9989318521683403E-2"/>
        </left>
        <right/>
        <top style="thin">
          <color theme="0" tint="-4.9989318521683403E-2"/>
        </top>
        <bottom style="thin">
          <color theme="0" tint="-4.9989318521683403E-2"/>
        </bottom>
      </border>
    </dxf>
    <dxf>
      <border outline="0">
        <top style="thin">
          <color theme="0"/>
        </top>
        <bottom style="thick">
          <color theme="0"/>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3" formatCode="0%"/>
      <fill>
        <patternFill patternType="solid">
          <fgColor indexed="64"/>
          <bgColor rgb="FFFFC000"/>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2"/>
        <color theme="1"/>
        <name val="Calibri"/>
        <scheme val="minor"/>
      </font>
      <numFmt numFmtId="165" formatCode="0.0%"/>
      <fill>
        <patternFill patternType="solid">
          <fgColor indexed="64"/>
          <bgColor rgb="FF00B0F0"/>
        </patternFill>
      </fill>
      <alignment horizontal="center" vertical="center" textRotation="0" wrapText="1" indent="0" justifyLastLine="0" shrinkToFit="0" readingOrder="0"/>
      <border diagonalUp="0" diagonalDown="0" outline="0">
        <left/>
        <right/>
        <top style="thin">
          <color theme="0" tint="-4.9989318521683403E-2"/>
        </top>
        <bottom style="thin">
          <color theme="0" tint="-4.9989318521683403E-2"/>
        </bottom>
      </border>
    </dxf>
    <dxf>
      <font>
        <b/>
        <i val="0"/>
        <strike val="0"/>
        <condense val="0"/>
        <extend val="0"/>
        <outline val="0"/>
        <shadow val="0"/>
        <u val="none"/>
        <vertAlign val="baseline"/>
        <sz val="12"/>
        <color auto="1"/>
        <name val="Calibri"/>
        <scheme val="minor"/>
      </font>
      <fill>
        <patternFill patternType="solid">
          <fgColor indexed="64"/>
          <bgColor rgb="FFFFC000"/>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2"/>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i val="0"/>
        <strike val="0"/>
        <condense val="0"/>
        <extend val="0"/>
        <outline val="0"/>
        <shadow val="0"/>
        <u val="none"/>
        <vertAlign val="baseline"/>
        <sz val="12"/>
        <color theme="0"/>
        <name val="Calibri"/>
        <scheme val="minor"/>
      </font>
      <numFmt numFmtId="30" formatCode="@"/>
      <fill>
        <patternFill patternType="solid">
          <fgColor indexed="64"/>
          <bgColor theme="9" tint="-0.249977111117893"/>
        </patternFill>
      </fill>
      <alignment horizontal="left" vertical="center" textRotation="0" wrapText="0"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12"/>
        <color theme="0"/>
        <name val="Calibri"/>
        <scheme val="minor"/>
      </font>
      <numFmt numFmtId="30" formatCode="@"/>
      <fill>
        <patternFill patternType="solid">
          <fgColor indexed="64"/>
          <bgColor rgb="FF002060"/>
        </patternFill>
      </fill>
      <alignment horizontal="left" vertical="center" textRotation="0" wrapText="0" indent="0" justifyLastLine="0" shrinkToFit="0" readingOrder="0"/>
      <border diagonalUp="0" diagonalDown="0" outline="0">
        <left style="thin">
          <color theme="0" tint="-4.9989318521683403E-2"/>
        </left>
        <right/>
        <top style="thin">
          <color theme="0" tint="-4.9989318521683403E-2"/>
        </top>
        <bottom style="thin">
          <color theme="0" tint="-4.9989318521683403E-2"/>
        </bottom>
      </border>
    </dxf>
    <dxf>
      <border>
        <top style="thin">
          <color theme="0"/>
        </top>
      </border>
    </dxf>
    <dxf>
      <border outline="0">
        <top style="thin">
          <color theme="0"/>
        </top>
        <bottom style="thin">
          <color theme="0" tint="-4.9989318521683403E-2"/>
        </bottom>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Calibri"/>
        <scheme val="minor"/>
      </font>
      <numFmt numFmtId="13" formatCode="0%"/>
      <fill>
        <patternFill patternType="solid">
          <fgColor indexed="64"/>
          <bgColor rgb="FF00B0F0"/>
        </patternFill>
      </fill>
      <alignment horizontal="center" vertical="center" textRotation="0" wrapText="1" indent="0" justifyLastLine="0" shrinkToFit="0" readingOrder="0"/>
      <border diagonalUp="0" diagonalDown="0" outline="0">
        <left/>
        <right/>
        <top style="thin">
          <color theme="0" tint="-4.9989318521683403E-2"/>
        </top>
        <bottom style="thin">
          <color theme="0" tint="-4.9989318521683403E-2"/>
        </bottom>
      </border>
    </dxf>
    <dxf>
      <font>
        <b val="0"/>
        <i val="0"/>
        <strike val="0"/>
        <condense val="0"/>
        <extend val="0"/>
        <outline val="0"/>
        <shadow val="0"/>
        <u val="none"/>
        <vertAlign val="baseline"/>
        <sz val="12"/>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0"/>
        <name val="Calibri"/>
        <scheme val="minor"/>
      </font>
      <numFmt numFmtId="30" formatCode="@"/>
      <fill>
        <patternFill patternType="solid">
          <fgColor indexed="64"/>
          <bgColor rgb="FF002060"/>
        </patternFill>
      </fill>
      <alignment horizontal="left" vertical="center" textRotation="0" wrapText="1" indent="0" justifyLastLine="0" shrinkToFit="0" readingOrder="0"/>
      <border diagonalUp="0" diagonalDown="0" outline="0">
        <left style="thin">
          <color theme="0" tint="-4.9989318521683403E-2"/>
        </left>
        <right/>
        <top style="thin">
          <color theme="0" tint="-4.9989318521683403E-2"/>
        </top>
        <bottom style="thin">
          <color theme="0" tint="-4.9989318521683403E-2"/>
        </bottom>
      </border>
    </dxf>
    <dxf>
      <border outline="0">
        <top style="thin">
          <color theme="0" tint="-4.9989318521683403E-2"/>
        </top>
      </border>
    </dxf>
    <dxf>
      <border outline="0">
        <top style="thin">
          <color theme="0"/>
        </top>
        <bottom style="thin">
          <color theme="0" tint="-4.9989318521683403E-2"/>
        </bottom>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E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powerPivotData" Target="model/item.data"/><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s-HN"/>
              <a:t>ESTADO DE 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HN"/>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8-A5BE-4F69-99C3-CC6666A8654C}"/>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5BE-4F69-99C3-CC6666A8654C}"/>
              </c:ext>
            </c:extLst>
          </c:dPt>
          <c:dLbls>
            <c:dLbl>
              <c:idx val="0"/>
              <c:tx>
                <c:rich>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fld id="{915B215F-6E78-4496-B7E1-57CA2CB4DF39}" type="PERCENTAGE">
                      <a:rPr lang="en-US" sz="1200" baseline="0"/>
                      <a:pPr>
                        <a:defRPr sz="1200"/>
                      </a:pPr>
                      <a:t>[PERCENTAGE]</a:t>
                    </a:fld>
                    <a:r>
                      <a:rPr lang="en-US" sz="1200" baseline="0"/>
                      <a:t> (</a:t>
                    </a:r>
                    <a:fld id="{DB0C0BAC-0BC1-4CD6-8B6F-0DE8D1339615}" type="VALUE">
                      <a:rPr lang="en-US" sz="1200" b="1" i="0" u="none" strike="noStrike" kern="1200" baseline="0">
                        <a:solidFill>
                          <a:sysClr val="window" lastClr="FFFFFF"/>
                        </a:solidFill>
                      </a:rPr>
                      <a:pPr>
                        <a:defRPr sz="1200"/>
                      </a:pPr>
                      <a:t>[VALUE]</a:t>
                    </a:fld>
                    <a:r>
                      <a:rPr lang="en-US" sz="12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layout>
                    <c:manualLayout>
                      <c:w val="0.15492984452028821"/>
                      <c:h val="5.3601041628057962E-2"/>
                    </c:manualLayout>
                  </c15:layout>
                  <c15:dlblFieldTable/>
                  <c15:showDataLabelsRange val="0"/>
                </c:ext>
                <c:ext xmlns:c16="http://schemas.microsoft.com/office/drawing/2014/chart" uri="{C3380CC4-5D6E-409C-BE32-E72D297353CC}">
                  <c16:uniqueId val="{00000008-A5BE-4F69-99C3-CC6666A8654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fld id="{3DF00E6E-DD4E-42FB-80A6-D92264FCDFB1}" type="PERCENTAGE">
                      <a:rPr lang="en-US" sz="1200" baseline="0"/>
                      <a:pPr>
                        <a:defRPr sz="1200"/>
                      </a:pPr>
                      <a:t>[PERCENTAGE]</a:t>
                    </a:fld>
                    <a:r>
                      <a:rPr lang="en-US" sz="1200" baseline="0"/>
                      <a:t> (</a:t>
                    </a:r>
                    <a:fld id="{9F85F48C-841C-48B4-ABEB-D2D82ED41ABC}" type="VALUE">
                      <a:rPr lang="en-US" sz="1200" b="1" i="0" u="none" strike="noStrike" kern="1200" baseline="0">
                        <a:solidFill>
                          <a:sysClr val="window" lastClr="FFFFFF"/>
                        </a:solidFill>
                      </a:rPr>
                      <a:pPr>
                        <a:defRPr sz="1200"/>
                      </a:pPr>
                      <a:t>[VALUE]</a:t>
                    </a:fld>
                    <a:r>
                      <a:rPr lang="en-US" sz="12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layout>
                    <c:manualLayout>
                      <c:w val="0.16061812665908226"/>
                      <c:h val="5.3601041628057962E-2"/>
                    </c:manualLayout>
                  </c15:layout>
                  <c15:dlblFieldTable/>
                  <c15:showDataLabelsRange val="0"/>
                </c:ext>
                <c:ext xmlns:c16="http://schemas.microsoft.com/office/drawing/2014/chart" uri="{C3380CC4-5D6E-409C-BE32-E72D297353CC}">
                  <c16:uniqueId val="{00000009-A5BE-4F69-99C3-CC6666A8654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ESTADÍSTICAS!$A$4:$A$5</c:f>
              <c:strCache>
                <c:ptCount val="2"/>
                <c:pt idx="0">
                  <c:v>Convenios Vigentes</c:v>
                </c:pt>
                <c:pt idx="1">
                  <c:v>Convenios Expirados</c:v>
                </c:pt>
              </c:strCache>
            </c:strRef>
          </c:cat>
          <c:val>
            <c:numRef>
              <c:f>ESTADÍSTICAS!$B$4:$B$5</c:f>
              <c:numCache>
                <c:formatCode>General</c:formatCode>
                <c:ptCount val="2"/>
                <c:pt idx="0">
                  <c:v>213</c:v>
                </c:pt>
                <c:pt idx="1">
                  <c:v>176</c:v>
                </c:pt>
              </c:numCache>
            </c:numRef>
          </c:val>
          <c:extLst>
            <c:ext xmlns:c16="http://schemas.microsoft.com/office/drawing/2014/chart" uri="{C3380CC4-5D6E-409C-BE32-E72D297353CC}">
              <c16:uniqueId val="{00000006-A5BE-4F69-99C3-CC6666A8654C}"/>
            </c:ext>
          </c:extLst>
        </c:ser>
        <c:ser>
          <c:idx val="1"/>
          <c:order val="1"/>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86EC-4D72-BA9A-51C322A4909C}"/>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86EC-4D72-BA9A-51C322A4909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ESTADÍSTICAS!$A$4:$A$5</c:f>
              <c:strCache>
                <c:ptCount val="2"/>
                <c:pt idx="0">
                  <c:v>Convenios Vigentes</c:v>
                </c:pt>
                <c:pt idx="1">
                  <c:v>Convenios Expirados</c:v>
                </c:pt>
              </c:strCache>
            </c:strRef>
          </c:cat>
          <c:val>
            <c:numRef>
              <c:f>ESTADÍSTICAS!$C$4:$C$5</c:f>
              <c:numCache>
                <c:formatCode>0.00%</c:formatCode>
                <c:ptCount val="2"/>
                <c:pt idx="0">
                  <c:v>0.54755784061696655</c:v>
                </c:pt>
                <c:pt idx="1">
                  <c:v>0.45244215938303339</c:v>
                </c:pt>
              </c:numCache>
            </c:numRef>
          </c:val>
          <c:extLst>
            <c:ext xmlns:c16="http://schemas.microsoft.com/office/drawing/2014/chart" uri="{C3380CC4-5D6E-409C-BE32-E72D297353CC}">
              <c16:uniqueId val="{00000007-A5BE-4F69-99C3-CC6666A8654C}"/>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H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H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CONVENIOS POR REGIÓN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HN"/>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201837598015655E-3"/>
          <c:y val="0.27290380093216826"/>
          <c:w val="0.99367981624019841"/>
          <c:h val="0.68156670813499309"/>
        </c:manualLayout>
      </c:layout>
      <c:pie3DChart>
        <c:varyColors val="1"/>
        <c:ser>
          <c:idx val="0"/>
          <c:order val="0"/>
          <c:tx>
            <c:strRef>
              <c:f>ESTADÍSTICAS!$B$9</c:f>
              <c:strCache>
                <c:ptCount val="1"/>
                <c:pt idx="0">
                  <c:v>CONVENIOS</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6-BC88-4063-9D4F-BFC00F6B8ABE}"/>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BC88-4063-9D4F-BFC00F6B8ABE}"/>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8-BC88-4063-9D4F-BFC00F6B8ABE}"/>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BC88-4063-9D4F-BFC00F6B8ABE}"/>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A-BC88-4063-9D4F-BFC00F6B8ABE}"/>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B-BC88-4063-9D4F-BFC00F6B8ABE}"/>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C-BC88-4063-9D4F-BFC00F6B8ABE}"/>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D-BC88-4063-9D4F-BFC00F6B8ABE}"/>
              </c:ext>
            </c:extLst>
          </c:dPt>
          <c:dPt>
            <c:idx val="8"/>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BC88-4063-9D4F-BFC00F6B8ABE}"/>
              </c:ext>
            </c:extLst>
          </c:dPt>
          <c:dLbls>
            <c:dLbl>
              <c:idx val="0"/>
              <c:tx>
                <c:rich>
                  <a:bodyPr/>
                  <a:lstStyle/>
                  <a:p>
                    <a:fld id="{9747959A-A94E-4DC5-9D1F-5D512D4A5FCB}" type="PERCENTAGE">
                      <a:rPr lang="en-US" sz="900" baseline="0"/>
                      <a:pPr/>
                      <a:t>[PERCENTAGE]</a:t>
                    </a:fld>
                    <a:r>
                      <a:rPr lang="en-US" sz="900" baseline="0"/>
                      <a:t> (</a:t>
                    </a:r>
                    <a:fld id="{31D85167-CB79-4AD8-97BF-74A8CFBCC918}"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C88-4063-9D4F-BFC00F6B8ABE}"/>
                </c:ext>
              </c:extLst>
            </c:dLbl>
            <c:dLbl>
              <c:idx val="1"/>
              <c:tx>
                <c:rich>
                  <a:bodyPr/>
                  <a:lstStyle/>
                  <a:p>
                    <a:r>
                      <a:rPr lang="en-US" baseline="0"/>
                      <a:t>22.</a:t>
                    </a:r>
                    <a:r>
                      <a:rPr lang="en-US" sz="900" baseline="0"/>
                      <a:t>94% (</a:t>
                    </a:r>
                    <a:fld id="{AF147BF4-599A-439F-B9BD-1D79BBFF46B2}" type="VALUE">
                      <a:rPr lang="en-US" sz="900" b="1" i="0" u="none" strike="noStrike" kern="1200" baseline="0">
                        <a:solidFill>
                          <a:sysClr val="window" lastClr="FFFFFF"/>
                        </a:solidFill>
                      </a:rPr>
                      <a:pPr/>
                      <a:t>[VALUE]</a:t>
                    </a:fld>
                    <a:r>
                      <a:rPr lang="en-US" sz="900" baseline="0"/>
                      <a:t>) </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C88-4063-9D4F-BFC00F6B8ABE}"/>
                </c:ext>
              </c:extLst>
            </c:dLbl>
            <c:dLbl>
              <c:idx val="2"/>
              <c:tx>
                <c:rich>
                  <a:bodyPr/>
                  <a:lstStyle/>
                  <a:p>
                    <a:fld id="{3C4A8F04-2734-4C8B-A821-486B0D2A1EE5}" type="PERCENTAGE">
                      <a:rPr lang="en-US" sz="900" baseline="0"/>
                      <a:pPr/>
                      <a:t>[PERCENTAGE]</a:t>
                    </a:fld>
                    <a:r>
                      <a:rPr lang="en-US" sz="900" baseline="0"/>
                      <a:t> </a:t>
                    </a:r>
                    <a:r>
                      <a:rPr lang="en-US" sz="900" b="1" i="0" u="none" strike="noStrike" kern="1200" baseline="0">
                        <a:solidFill>
                          <a:sysClr val="window" lastClr="FFFFFF"/>
                        </a:solidFill>
                      </a:rPr>
                      <a:t>(</a:t>
                    </a:r>
                    <a:fld id="{7ABE2165-AF9A-425B-BF22-541809A693C6}"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C88-4063-9D4F-BFC00F6B8ABE}"/>
                </c:ext>
              </c:extLst>
            </c:dLbl>
            <c:dLbl>
              <c:idx val="3"/>
              <c:tx>
                <c:rich>
                  <a:bodyPr/>
                  <a:lstStyle/>
                  <a:p>
                    <a:fld id="{F5C7C681-1A18-4CE3-B0AC-E7E1B00A1023}" type="PERCENTAGE">
                      <a:rPr lang="en-US" sz="900" baseline="0"/>
                      <a:pPr/>
                      <a:t>[PERCENTAGE]</a:t>
                    </a:fld>
                    <a:r>
                      <a:rPr lang="en-US" sz="900" baseline="0"/>
                      <a:t> (</a:t>
                    </a:r>
                    <a:fld id="{6D62968F-E661-4C47-B19A-B65857D94C42}"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 </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C88-4063-9D4F-BFC00F6B8ABE}"/>
                </c:ext>
              </c:extLst>
            </c:dLbl>
            <c:dLbl>
              <c:idx val="4"/>
              <c:tx>
                <c:rich>
                  <a:bodyPr/>
                  <a:lstStyle/>
                  <a:p>
                    <a:fld id="{2DD17EDB-836A-45D4-BDDA-21006C6B485A}" type="PERCENTAGE">
                      <a:rPr lang="en-US" sz="900" baseline="0"/>
                      <a:pPr/>
                      <a:t>[PERCENTAGE]</a:t>
                    </a:fld>
                    <a:r>
                      <a:rPr lang="en-US" sz="900" baseline="0"/>
                      <a:t> (</a:t>
                    </a:r>
                    <a:fld id="{D0C74319-B940-420E-B9DC-18960280A2EB}"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C88-4063-9D4F-BFC00F6B8ABE}"/>
                </c:ext>
              </c:extLst>
            </c:dLbl>
            <c:dLbl>
              <c:idx val="5"/>
              <c:tx>
                <c:rich>
                  <a:bodyPr/>
                  <a:lstStyle/>
                  <a:p>
                    <a:fld id="{8514505B-34CC-466F-A51B-3135F5555D74}" type="PERCENTAGE">
                      <a:rPr lang="en-US" sz="900" baseline="0"/>
                      <a:pPr/>
                      <a:t>[PERCENTAGE]</a:t>
                    </a:fld>
                    <a:r>
                      <a:rPr lang="en-US" sz="900" baseline="0"/>
                      <a:t> (</a:t>
                    </a:r>
                    <a:fld id="{3A1CFAC1-9537-47CC-9198-D9BADB44E3AA}"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r>
                      <a:rPr lang="en-US" sz="800" b="1" i="0" u="none" strike="noStrike" kern="1200" baseline="0">
                        <a:solidFill>
                          <a:sysClr val="window" lastClr="FFFFFF"/>
                        </a:solidFill>
                      </a:rPr>
                      <a:t> </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C88-4063-9D4F-BFC00F6B8ABE}"/>
                </c:ext>
              </c:extLst>
            </c:dLbl>
            <c:dLbl>
              <c:idx val="6"/>
              <c:layout>
                <c:manualLayout>
                  <c:x val="5.439208010462937E-2"/>
                  <c:y val="5.0981593655986472E-2"/>
                </c:manualLayout>
              </c:layout>
              <c:tx>
                <c:rich>
                  <a:bodyPr/>
                  <a:lstStyle/>
                  <a:p>
                    <a:fld id="{54B1A308-0A94-49FF-8715-CC4F67A92D44}" type="PERCENTAGE">
                      <a:rPr lang="en-US" sz="900" baseline="0"/>
                      <a:pPr/>
                      <a:t>[PERCENTAGE]</a:t>
                    </a:fld>
                    <a:r>
                      <a:rPr lang="en-US" sz="900" baseline="0"/>
                      <a:t> (</a:t>
                    </a:r>
                    <a:fld id="{CF508D3D-DEA9-4DA4-9DA6-9FB78F4AD2E1}"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C88-4063-9D4F-BFC00F6B8ABE}"/>
                </c:ext>
              </c:extLst>
            </c:dLbl>
            <c:dLbl>
              <c:idx val="7"/>
              <c:layout>
                <c:manualLayout>
                  <c:x val="2.6598711199692478E-2"/>
                  <c:y val="0.10176526714240125"/>
                </c:manualLayout>
              </c:layout>
              <c:tx>
                <c:rich>
                  <a:bodyPr/>
                  <a:lstStyle/>
                  <a:p>
                    <a:fld id="{EC8D20C4-DB46-4CAE-AEED-32D3EE801402}" type="PERCENTAGE">
                      <a:rPr lang="en-US" sz="900" baseline="0"/>
                      <a:pPr/>
                      <a:t>[PERCENTAGE]</a:t>
                    </a:fld>
                    <a:r>
                      <a:rPr lang="en-US" sz="900" baseline="0"/>
                      <a:t> (</a:t>
                    </a:r>
                    <a:fld id="{2FFD0507-ED30-465A-81AF-ED7C410D755D}"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C88-4063-9D4F-BFC00F6B8ABE}"/>
                </c:ext>
              </c:extLst>
            </c:dLbl>
            <c:dLbl>
              <c:idx val="8"/>
              <c:layout>
                <c:manualLayout>
                  <c:x val="2.8376844494892098E-2"/>
                  <c:y val="4.8527754363919567E-2"/>
                </c:manualLayout>
              </c:layout>
              <c:tx>
                <c:rich>
                  <a:bodyPr/>
                  <a:lstStyle/>
                  <a:p>
                    <a:fld id="{536F53C3-2C4C-42E5-ABA1-364548BCC0FA}" type="PERCENTAGE">
                      <a:rPr lang="en-US" sz="900" baseline="0"/>
                      <a:pPr/>
                      <a:t>[PERCENTAGE]</a:t>
                    </a:fld>
                    <a:r>
                      <a:rPr lang="en-US" sz="900" baseline="0"/>
                      <a:t> (</a:t>
                    </a:r>
                    <a:fld id="{FF253107-4E88-427A-BBCD-256B416FC0B4}" type="VALUE">
                      <a:rPr lang="en-US" sz="900" b="1" i="0" u="none" strike="noStrike" kern="1200" baseline="0">
                        <a:solidFill>
                          <a:sysClr val="window" lastClr="FFFFFF"/>
                        </a:solidFill>
                      </a:rPr>
                      <a:pPr/>
                      <a:t>[VALUE]</a:t>
                    </a:fld>
                    <a:r>
                      <a:rPr lang="en-US" sz="900" b="1" i="0" u="none" strike="noStrike" kern="1200" baseline="0">
                        <a:solidFill>
                          <a:sysClr val="window" lastClr="FFFFFF"/>
                        </a:solidFill>
                      </a:rPr>
                      <a:t>)</a:t>
                    </a: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C88-4063-9D4F-BFC00F6B8A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ESTADÍSTICAS!$A$10:$A$18</c:f>
              <c:strCache>
                <c:ptCount val="9"/>
                <c:pt idx="0">
                  <c:v>Europa</c:v>
                </c:pt>
                <c:pt idx="1">
                  <c:v>América del Norte</c:v>
                </c:pt>
                <c:pt idx="2">
                  <c:v>Organizaciones Internacionales</c:v>
                </c:pt>
                <c:pt idx="3">
                  <c:v>Varios</c:v>
                </c:pt>
                <c:pt idx="4">
                  <c:v>América del Sur</c:v>
                </c:pt>
                <c:pt idx="5">
                  <c:v>América Central</c:v>
                </c:pt>
                <c:pt idx="6">
                  <c:v>Caribe</c:v>
                </c:pt>
                <c:pt idx="7">
                  <c:v>Asia</c:v>
                </c:pt>
                <c:pt idx="8">
                  <c:v>África</c:v>
                </c:pt>
              </c:strCache>
            </c:strRef>
          </c:cat>
          <c:val>
            <c:numRef>
              <c:f>ESTADÍSTICAS!$B$10:$B$18</c:f>
              <c:numCache>
                <c:formatCode>General</c:formatCode>
                <c:ptCount val="9"/>
                <c:pt idx="0">
                  <c:v>112</c:v>
                </c:pt>
                <c:pt idx="1">
                  <c:v>89</c:v>
                </c:pt>
                <c:pt idx="2">
                  <c:v>44</c:v>
                </c:pt>
                <c:pt idx="3">
                  <c:v>42</c:v>
                </c:pt>
                <c:pt idx="4">
                  <c:v>40</c:v>
                </c:pt>
                <c:pt idx="5">
                  <c:v>30</c:v>
                </c:pt>
                <c:pt idx="6">
                  <c:v>21</c:v>
                </c:pt>
                <c:pt idx="7">
                  <c:v>10</c:v>
                </c:pt>
                <c:pt idx="8">
                  <c:v>1</c:v>
                </c:pt>
              </c:numCache>
            </c:numRef>
          </c:val>
          <c:extLst>
            <c:ext xmlns:c16="http://schemas.microsoft.com/office/drawing/2014/chart" uri="{C3380CC4-5D6E-409C-BE32-E72D297353CC}">
              <c16:uniqueId val="{00000000-BC88-4063-9D4F-BFC00F6B8ABE}"/>
            </c:ext>
          </c:extLst>
        </c:ser>
        <c:ser>
          <c:idx val="1"/>
          <c:order val="1"/>
          <c:tx>
            <c:strRef>
              <c:f>ESTADÍSTICAS!$C$9</c:f>
              <c:strCache>
                <c:ptCount val="1"/>
                <c:pt idx="0">
                  <c:v>PORCENTAJE</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3-DE45-4835-B63D-6F6A5B66F22D}"/>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5-DE45-4835-B63D-6F6A5B66F22D}"/>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7-DE45-4835-B63D-6F6A5B66F22D}"/>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9-DE45-4835-B63D-6F6A5B66F22D}"/>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B-DE45-4835-B63D-6F6A5B66F22D}"/>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D-DE45-4835-B63D-6F6A5B66F22D}"/>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F-DE45-4835-B63D-6F6A5B66F22D}"/>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1-DE45-4835-B63D-6F6A5B66F22D}"/>
              </c:ext>
            </c:extLst>
          </c:dPt>
          <c:dPt>
            <c:idx val="8"/>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3-DE45-4835-B63D-6F6A5B66F22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ESTADÍSTICAS!$A$10:$A$18</c:f>
              <c:strCache>
                <c:ptCount val="9"/>
                <c:pt idx="0">
                  <c:v>Europa</c:v>
                </c:pt>
                <c:pt idx="1">
                  <c:v>América del Norte</c:v>
                </c:pt>
                <c:pt idx="2">
                  <c:v>Organizaciones Internacionales</c:v>
                </c:pt>
                <c:pt idx="3">
                  <c:v>Varios</c:v>
                </c:pt>
                <c:pt idx="4">
                  <c:v>América del Sur</c:v>
                </c:pt>
                <c:pt idx="5">
                  <c:v>América Central</c:v>
                </c:pt>
                <c:pt idx="6">
                  <c:v>Caribe</c:v>
                </c:pt>
                <c:pt idx="7">
                  <c:v>Asia</c:v>
                </c:pt>
                <c:pt idx="8">
                  <c:v>África</c:v>
                </c:pt>
              </c:strCache>
            </c:strRef>
          </c:cat>
          <c:val>
            <c:numRef>
              <c:f>ESTADÍSTICAS!$C$10:$C$18</c:f>
              <c:numCache>
                <c:formatCode>0.0%</c:formatCode>
                <c:ptCount val="9"/>
                <c:pt idx="0">
                  <c:v>0.2879177377892031</c:v>
                </c:pt>
                <c:pt idx="1">
                  <c:v>0.22879177377892032</c:v>
                </c:pt>
                <c:pt idx="2">
                  <c:v>0.11311053984575835</c:v>
                </c:pt>
                <c:pt idx="3">
                  <c:v>0.10796915167095116</c:v>
                </c:pt>
                <c:pt idx="4">
                  <c:v>0.10282776349614396</c:v>
                </c:pt>
                <c:pt idx="5">
                  <c:v>7.7120822622107968E-2</c:v>
                </c:pt>
                <c:pt idx="6">
                  <c:v>5.3984575835475578E-2</c:v>
                </c:pt>
                <c:pt idx="7">
                  <c:v>2.570694087403599E-2</c:v>
                </c:pt>
                <c:pt idx="8">
                  <c:v>2.5706940874035988E-3</c:v>
                </c:pt>
              </c:numCache>
            </c:numRef>
          </c:val>
          <c:extLst>
            <c:ext xmlns:c16="http://schemas.microsoft.com/office/drawing/2014/chart" uri="{C3380CC4-5D6E-409C-BE32-E72D297353CC}">
              <c16:uniqueId val="{00000001-BC88-4063-9D4F-BFC00F6B8ABE}"/>
            </c:ext>
          </c:extLst>
        </c:ser>
        <c:dLbls>
          <c:dLblPos val="inEnd"/>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H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H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CONVENIOS POR TIPO DE ENTIDAD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HN"/>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ESTADÍSTICAS!$B$22</c:f>
              <c:strCache>
                <c:ptCount val="1"/>
                <c:pt idx="0">
                  <c:v>CONVENIOS</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4-878C-4D9D-BAFB-3BD538F5191C}"/>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878C-4D9D-BAFB-3BD538F5191C}"/>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6-878C-4D9D-BAFB-3BD538F5191C}"/>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878C-4D9D-BAFB-3BD538F5191C}"/>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8-878C-4D9D-BAFB-3BD538F5191C}"/>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878C-4D9D-BAFB-3BD538F5191C}"/>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A-878C-4D9D-BAFB-3BD538F5191C}"/>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878C-4D9D-BAFB-3BD538F5191C}"/>
              </c:ext>
            </c:extLst>
          </c:dPt>
          <c:dPt>
            <c:idx val="8"/>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2-878C-4D9D-BAFB-3BD538F5191C}"/>
              </c:ext>
            </c:extLst>
          </c:dPt>
          <c:dLbls>
            <c:dLbl>
              <c:idx val="0"/>
              <c:tx>
                <c:rich>
                  <a:bodyPr/>
                  <a:lstStyle/>
                  <a:p>
                    <a:fld id="{1AD50F76-0051-41D3-8C86-7D90253BED06}" type="PERCENTAGE">
                      <a:rPr lang="en-US" sz="800" baseline="0"/>
                      <a:pPr/>
                      <a:t>[PERCENTAGE]</a:t>
                    </a:fld>
                    <a:r>
                      <a:rPr lang="en-US" sz="800" baseline="0"/>
                      <a:t> (</a:t>
                    </a:r>
                    <a:fld id="{BBAAABD3-9A56-4B11-931C-BC18EFF73B97}" type="VALUE">
                      <a:rPr lang="en-US" sz="800" b="1" i="0" u="none" strike="noStrike" kern="1200" baseline="0">
                        <a:solidFill>
                          <a:sysClr val="window" lastClr="FFFFFF"/>
                        </a:solidFill>
                      </a:rPr>
                      <a:pPr/>
                      <a:t>[VALUE]</a:t>
                    </a:fld>
                    <a:r>
                      <a:rPr lang="en-US" sz="800" b="1" i="0" u="none" strike="noStrike" kern="1200" baseline="0">
                        <a:solidFill>
                          <a:sysClr val="window" lastClr="FFFFFF"/>
                        </a:solidFill>
                      </a:rPr>
                      <a:t>)</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78C-4D9D-BAFB-3BD538F5191C}"/>
                </c:ext>
              </c:extLst>
            </c:dLbl>
            <c:dLbl>
              <c:idx val="1"/>
              <c:tx>
                <c:rich>
                  <a:bodyPr/>
                  <a:lstStyle/>
                  <a:p>
                    <a:fld id="{CC7C33FC-8CBF-4B6E-AB26-AB4D879EDE8D}" type="PERCENTAGE">
                      <a:rPr lang="en-US" sz="800" baseline="0"/>
                      <a:pPr/>
                      <a:t>[PERCENTAGE]</a:t>
                    </a:fld>
                    <a:r>
                      <a:rPr lang="en-US" sz="800" baseline="0"/>
                      <a:t> (</a:t>
                    </a:r>
                    <a:fld id="{DDF34BD3-11A1-448A-A997-A9EA24A7AE7D}" type="VALUE">
                      <a:rPr lang="en-US" sz="800" b="1" i="0" u="none" strike="noStrike" kern="1200" baseline="0">
                        <a:solidFill>
                          <a:sysClr val="window" lastClr="FFFFFF"/>
                        </a:solidFill>
                      </a:rPr>
                      <a:pPr/>
                      <a:t>[VALUE]</a:t>
                    </a:fld>
                    <a:r>
                      <a:rPr lang="en-US" sz="800" b="1" i="0" u="none" strike="noStrike" kern="1200" baseline="0">
                        <a:solidFill>
                          <a:sysClr val="window" lastClr="FFFFFF"/>
                        </a:solidFill>
                      </a:rPr>
                      <a:t>)</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78C-4D9D-BAFB-3BD538F5191C}"/>
                </c:ext>
              </c:extLst>
            </c:dLbl>
            <c:dLbl>
              <c:idx val="2"/>
              <c:tx>
                <c:rich>
                  <a:bodyPr/>
                  <a:lstStyle/>
                  <a:p>
                    <a:fld id="{20807F15-F13D-425A-9203-DF7199690F58}" type="PERCENTAGE">
                      <a:rPr lang="en-US" sz="800" baseline="0"/>
                      <a:pPr/>
                      <a:t>[PERCENTAGE]</a:t>
                    </a:fld>
                    <a:r>
                      <a:rPr lang="en-US" sz="800" baseline="0"/>
                      <a:t> (</a:t>
                    </a:r>
                    <a:fld id="{B894311B-5BC1-4C4A-8DA0-F304A951D3F6}" type="VALUE">
                      <a:rPr lang="en-US" sz="800" b="1" i="0" u="none" strike="noStrike" kern="1200" baseline="0">
                        <a:solidFill>
                          <a:sysClr val="window" lastClr="FFFFFF"/>
                        </a:solidFill>
                      </a:rPr>
                      <a:pPr/>
                      <a:t>[VALUE]</a:t>
                    </a:fld>
                    <a:r>
                      <a:rPr lang="en-US" sz="800" b="1" i="0" u="none" strike="noStrike" kern="1200" baseline="0">
                        <a:solidFill>
                          <a:sysClr val="window" lastClr="FFFFFF"/>
                        </a:solidFill>
                      </a:rPr>
                      <a:t>)</a:t>
                    </a: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878C-4D9D-BAFB-3BD538F5191C}"/>
                </c:ext>
              </c:extLst>
            </c:dLbl>
            <c:dLbl>
              <c:idx val="3"/>
              <c:tx>
                <c:rich>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fld id="{7DAFB5A1-BAA3-49AD-A828-C80AAABC7583}" type="PERCENTAGE">
                      <a:rPr lang="en-US" sz="600" baseline="0"/>
                      <a:pPr>
                        <a:defRPr sz="600"/>
                      </a:pPr>
                      <a:t>[PERCENTAGE]</a:t>
                    </a:fld>
                    <a:r>
                      <a:rPr lang="en-US" sz="600" baseline="0"/>
                      <a:t> (</a:t>
                    </a:r>
                    <a:fld id="{7F57DEAE-1A4F-412D-96C4-0E06C77FF12A}" type="VALUE">
                      <a:rPr lang="en-US" sz="600" b="1" i="0" u="none" strike="noStrike" kern="1200" baseline="0">
                        <a:solidFill>
                          <a:sysClr val="window" lastClr="FFFFFF"/>
                        </a:solidFill>
                      </a:rPr>
                      <a:pPr>
                        <a:defRPr sz="600"/>
                      </a:pPr>
                      <a:t>[VALUE]</a:t>
                    </a:fld>
                    <a:r>
                      <a:rPr lang="en-US" sz="6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78C-4D9D-BAFB-3BD538F5191C}"/>
                </c:ext>
              </c:extLst>
            </c:dLbl>
            <c:dLbl>
              <c:idx val="4"/>
              <c:layout>
                <c:manualLayout>
                  <c:x val="5.6411156611924126E-2"/>
                  <c:y val="3.6869672408417486E-2"/>
                </c:manualLayout>
              </c:layout>
              <c:tx>
                <c:rich>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fld id="{3CFDA226-08C9-4A40-8CD4-A43CB428AD58}" type="PERCENTAGE">
                      <a:rPr lang="en-US" sz="600" baseline="0"/>
                      <a:pPr>
                        <a:defRPr sz="600"/>
                      </a:pPr>
                      <a:t>[PERCENTAGE]</a:t>
                    </a:fld>
                    <a:r>
                      <a:rPr lang="en-US" sz="600" baseline="0"/>
                      <a:t> (</a:t>
                    </a:r>
                    <a:fld id="{4B3244A5-8E27-49FD-8D7D-21BBAEDF13D9}" type="VALUE">
                      <a:rPr lang="en-US" sz="600" b="1" i="0" u="none" strike="noStrike" kern="1200" baseline="0">
                        <a:solidFill>
                          <a:sysClr val="window" lastClr="FFFFFF"/>
                        </a:solidFill>
                      </a:rPr>
                      <a:pPr>
                        <a:defRPr sz="600"/>
                      </a:pPr>
                      <a:t>[VALUE]</a:t>
                    </a:fld>
                    <a:r>
                      <a:rPr lang="en-US" sz="6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endParaRPr lang="es-HN"/>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878C-4D9D-BAFB-3BD538F5191C}"/>
                </c:ext>
              </c:extLst>
            </c:dLbl>
            <c:dLbl>
              <c:idx val="5"/>
              <c:layout>
                <c:manualLayout>
                  <c:x val="4.323169983907902E-2"/>
                  <c:y val="4.2611583738514189E-2"/>
                </c:manualLayout>
              </c:layout>
              <c:tx>
                <c:rich>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fld id="{AAD27034-FF20-4ADD-83A8-753AB584D473}" type="PERCENTAGE">
                      <a:rPr lang="en-US" sz="600" baseline="0"/>
                      <a:pPr>
                        <a:defRPr sz="600"/>
                      </a:pPr>
                      <a:t>[PERCENTAGE]</a:t>
                    </a:fld>
                    <a:r>
                      <a:rPr lang="en-US" sz="600" baseline="0"/>
                      <a:t> (</a:t>
                    </a:r>
                    <a:fld id="{378AAC26-75E1-408A-9E3D-26FB1F42ABBB}" type="VALUE">
                      <a:rPr lang="en-US" sz="600" b="1" i="0" u="none" strike="noStrike" kern="1200" baseline="0">
                        <a:solidFill>
                          <a:sysClr val="window" lastClr="FFFFFF"/>
                        </a:solidFill>
                      </a:rPr>
                      <a:pPr>
                        <a:defRPr sz="600"/>
                      </a:pPr>
                      <a:t>[VALUE]</a:t>
                    </a:fld>
                    <a:r>
                      <a:rPr lang="en-US" sz="6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endParaRPr lang="es-HN"/>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78C-4D9D-BAFB-3BD538F5191C}"/>
                </c:ext>
              </c:extLst>
            </c:dLbl>
            <c:dLbl>
              <c:idx val="6"/>
              <c:layout>
                <c:manualLayout>
                  <c:x val="3.8449519852260861E-2"/>
                  <c:y val="4.0882437561619793E-2"/>
                </c:manualLayout>
              </c:layout>
              <c:tx>
                <c:rich>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fld id="{52C3908D-65CF-4730-A880-44D20E90A47D}" type="PERCENTAGE">
                      <a:rPr lang="en-US" sz="600" baseline="0"/>
                      <a:pPr>
                        <a:defRPr sz="600"/>
                      </a:pPr>
                      <a:t>[PERCENTAGE]</a:t>
                    </a:fld>
                    <a:r>
                      <a:rPr lang="en-US" sz="600" baseline="0"/>
                      <a:t> (</a:t>
                    </a:r>
                    <a:fld id="{E9EC093D-9E9C-4621-8A89-602F3712BC3F}" type="VALUE">
                      <a:rPr lang="en-US" sz="600" b="1" i="0" u="none" strike="noStrike" kern="1200" baseline="0">
                        <a:solidFill>
                          <a:sysClr val="window" lastClr="FFFFFF"/>
                        </a:solidFill>
                      </a:rPr>
                      <a:pPr>
                        <a:defRPr sz="600"/>
                      </a:pPr>
                      <a:t>[VALUE]</a:t>
                    </a:fld>
                    <a:r>
                      <a:rPr lang="en-US" sz="6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endParaRPr lang="es-HN"/>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78C-4D9D-BAFB-3BD538F5191C}"/>
                </c:ext>
              </c:extLst>
            </c:dLbl>
            <c:dLbl>
              <c:idx val="7"/>
              <c:layout>
                <c:manualLayout>
                  <c:x val="3.0097841566669104E-2"/>
                  <c:y val="3.3250070121668564E-2"/>
                </c:manualLayout>
              </c:layout>
              <c:tx>
                <c:rich>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r>
                      <a:rPr lang="en-US" sz="600" baseline="0"/>
                      <a:t>2.32% (</a:t>
                    </a:r>
                    <a:fld id="{A1534386-DE29-4F9B-8208-CF3D37FCE1ED}" type="VALUE">
                      <a:rPr lang="en-US" sz="600" b="1" i="0" u="none" strike="noStrike" kern="1200" baseline="0">
                        <a:solidFill>
                          <a:sysClr val="window" lastClr="FFFFFF"/>
                        </a:solidFill>
                      </a:rPr>
                      <a:pPr>
                        <a:defRPr sz="600"/>
                      </a:pPr>
                      <a:t>[VALUE]</a:t>
                    </a:fld>
                    <a:r>
                      <a:rPr lang="en-US" sz="600" baseline="0"/>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endParaRPr lang="es-HN"/>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78C-4D9D-BAFB-3BD538F5191C}"/>
                </c:ext>
              </c:extLst>
            </c:dLbl>
            <c:dLbl>
              <c:idx val="8"/>
              <c:layout>
                <c:manualLayout>
                  <c:x val="1.5507215515649679E-2"/>
                  <c:y val="6.4345809974491366E-2"/>
                </c:manualLayout>
              </c:layout>
              <c:tx>
                <c:rich>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fld id="{9D9FA330-CD70-40F5-8749-722A26862DEB}" type="PERCENTAGE">
                      <a:rPr lang="en-US" sz="600" baseline="0"/>
                      <a:pPr>
                        <a:defRPr sz="600"/>
                      </a:pPr>
                      <a:t>[PERCENTAGE]</a:t>
                    </a:fld>
                    <a:r>
                      <a:rPr lang="en-US" sz="600" baseline="0"/>
                      <a:t> (</a:t>
                    </a:r>
                    <a:fld id="{CBF1C723-6233-469E-90CE-2C084C546EA0}" type="VALUE">
                      <a:rPr lang="en-US" sz="600" b="1" i="0" u="none" strike="noStrike" kern="1200" baseline="0">
                        <a:solidFill>
                          <a:sysClr val="window" lastClr="FFFFFF"/>
                        </a:solidFill>
                      </a:rPr>
                      <a:pPr>
                        <a:defRPr sz="600"/>
                      </a:pPr>
                      <a:t>[VALUE]</a:t>
                    </a:fld>
                    <a:r>
                      <a:rPr lang="en-US" sz="6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lt1"/>
                      </a:solidFill>
                      <a:latin typeface="+mn-lt"/>
                      <a:ea typeface="+mn-ea"/>
                      <a:cs typeface="+mn-cs"/>
                    </a:defRPr>
                  </a:pPr>
                  <a:endParaRPr lang="es-HN"/>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78C-4D9D-BAFB-3BD538F5191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ESTADÍSTICAS!$A$23:$A$31</c:f>
              <c:strCache>
                <c:ptCount val="9"/>
                <c:pt idx="0">
                  <c:v>Institución Educativa</c:v>
                </c:pt>
                <c:pt idx="1">
                  <c:v>Organización Internacional</c:v>
                </c:pt>
                <c:pt idx="2">
                  <c:v>Organización No Gubernamental (ONG)</c:v>
                </c:pt>
                <c:pt idx="3">
                  <c:v>Varios/Otros </c:v>
                </c:pt>
                <c:pt idx="4">
                  <c:v>Sociedad Mercantil</c:v>
                </c:pt>
                <c:pt idx="5">
                  <c:v>Agencia Extranjera de Cooperación</c:v>
                </c:pt>
                <c:pt idx="6">
                  <c:v>Consorcio</c:v>
                </c:pt>
                <c:pt idx="7">
                  <c:v>Entidad Estatal Extranjera</c:v>
                </c:pt>
                <c:pt idx="8">
                  <c:v>Red Universitaria</c:v>
                </c:pt>
              </c:strCache>
            </c:strRef>
          </c:cat>
          <c:val>
            <c:numRef>
              <c:f>ESTADÍSTICAS!$B$23:$B$31</c:f>
              <c:numCache>
                <c:formatCode>General</c:formatCode>
                <c:ptCount val="9"/>
                <c:pt idx="0">
                  <c:v>241</c:v>
                </c:pt>
                <c:pt idx="1">
                  <c:v>40</c:v>
                </c:pt>
                <c:pt idx="2">
                  <c:v>32</c:v>
                </c:pt>
                <c:pt idx="3">
                  <c:v>22</c:v>
                </c:pt>
                <c:pt idx="4">
                  <c:v>13</c:v>
                </c:pt>
                <c:pt idx="5">
                  <c:v>12</c:v>
                </c:pt>
                <c:pt idx="6">
                  <c:v>13</c:v>
                </c:pt>
                <c:pt idx="7">
                  <c:v>9</c:v>
                </c:pt>
                <c:pt idx="8">
                  <c:v>7</c:v>
                </c:pt>
              </c:numCache>
            </c:numRef>
          </c:val>
          <c:extLst>
            <c:ext xmlns:c16="http://schemas.microsoft.com/office/drawing/2014/chart" uri="{C3380CC4-5D6E-409C-BE32-E72D297353CC}">
              <c16:uniqueId val="{00000000-878C-4D9D-BAFB-3BD538F5191C}"/>
            </c:ext>
          </c:extLst>
        </c:ser>
        <c:ser>
          <c:idx val="1"/>
          <c:order val="1"/>
          <c:tx>
            <c:strRef>
              <c:f>ESTADÍSTICAS!$C$22</c:f>
              <c:strCache>
                <c:ptCount val="1"/>
                <c:pt idx="0">
                  <c:v>PORCENTAJE</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3-E8C7-495C-869A-2A89AB8B351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5-E8C7-495C-869A-2A89AB8B351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7-E8C7-495C-869A-2A89AB8B351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9-E8C7-495C-869A-2A89AB8B351A}"/>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B-E8C7-495C-869A-2A89AB8B351A}"/>
              </c:ext>
            </c:extLst>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D-E8C7-495C-869A-2A89AB8B351A}"/>
              </c:ext>
            </c:extLst>
          </c:dPt>
          <c:dPt>
            <c:idx val="6"/>
            <c:bubble3D val="0"/>
            <c:spPr>
              <a:solidFill>
                <a:schemeClr val="accent1">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F-E8C7-495C-869A-2A89AB8B351A}"/>
              </c:ext>
            </c:extLst>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1-E8C7-495C-869A-2A89AB8B351A}"/>
              </c:ext>
            </c:extLst>
          </c:dPt>
          <c:dPt>
            <c:idx val="8"/>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23-E8C7-495C-869A-2A89AB8B35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ESTADÍSTICAS!$A$23:$A$31</c:f>
              <c:strCache>
                <c:ptCount val="9"/>
                <c:pt idx="0">
                  <c:v>Institución Educativa</c:v>
                </c:pt>
                <c:pt idx="1">
                  <c:v>Organización Internacional</c:v>
                </c:pt>
                <c:pt idx="2">
                  <c:v>Organización No Gubernamental (ONG)</c:v>
                </c:pt>
                <c:pt idx="3">
                  <c:v>Varios/Otros </c:v>
                </c:pt>
                <c:pt idx="4">
                  <c:v>Sociedad Mercantil</c:v>
                </c:pt>
                <c:pt idx="5">
                  <c:v>Agencia Extranjera de Cooperación</c:v>
                </c:pt>
                <c:pt idx="6">
                  <c:v>Consorcio</c:v>
                </c:pt>
                <c:pt idx="7">
                  <c:v>Entidad Estatal Extranjera</c:v>
                </c:pt>
                <c:pt idx="8">
                  <c:v>Red Universitaria</c:v>
                </c:pt>
              </c:strCache>
            </c:strRef>
          </c:cat>
          <c:val>
            <c:numRef>
              <c:f>ESTADÍSTICAS!$C$23:$C$31</c:f>
              <c:numCache>
                <c:formatCode>0.0%</c:formatCode>
                <c:ptCount val="9"/>
                <c:pt idx="0">
                  <c:v>0.61953727506426737</c:v>
                </c:pt>
                <c:pt idx="1">
                  <c:v>0.10282776349614396</c:v>
                </c:pt>
                <c:pt idx="2">
                  <c:v>8.2262210796915161E-2</c:v>
                </c:pt>
                <c:pt idx="3">
                  <c:v>5.6555269922879174E-2</c:v>
                </c:pt>
                <c:pt idx="4">
                  <c:v>3.3419023136246784E-2</c:v>
                </c:pt>
                <c:pt idx="5">
                  <c:v>3.0848329048843187E-2</c:v>
                </c:pt>
                <c:pt idx="6">
                  <c:v>3.3419023136246784E-2</c:v>
                </c:pt>
                <c:pt idx="7">
                  <c:v>2.313624678663239E-2</c:v>
                </c:pt>
                <c:pt idx="8">
                  <c:v>1.7994858611825194E-2</c:v>
                </c:pt>
              </c:numCache>
            </c:numRef>
          </c:val>
          <c:extLst>
            <c:ext xmlns:c16="http://schemas.microsoft.com/office/drawing/2014/chart" uri="{C3380CC4-5D6E-409C-BE32-E72D297353CC}">
              <c16:uniqueId val="{00000001-878C-4D9D-BAFB-3BD538F5191C}"/>
            </c:ext>
          </c:extLst>
        </c:ser>
        <c:dLbls>
          <c:dLblPos val="inEnd"/>
          <c:showLegendKey val="0"/>
          <c:showVal val="1"/>
          <c:showCatName val="0"/>
          <c:showSerName val="0"/>
          <c:showPercent val="0"/>
          <c:showBubbleSize val="0"/>
          <c:showLeaderLines val="1"/>
        </c:dLbls>
      </c:pie3DChart>
      <c:spPr>
        <a:noFill/>
        <a:ln>
          <a:noFill/>
        </a:ln>
        <a:effectLst/>
      </c:spPr>
    </c:plotArea>
    <c:legend>
      <c:legendPos val="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H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H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CONVENIOS POR TIPO DE INSTRUMENTO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HN"/>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ESTADÍSTICAS!$B$35</c:f>
              <c:strCache>
                <c:ptCount val="1"/>
                <c:pt idx="0">
                  <c:v>NÚMERO</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FED4-4F11-8C81-15F0B365AC90}"/>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FED4-4F11-8C81-15F0B365AC90}"/>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FED4-4F11-8C81-15F0B365AC90}"/>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FED4-4F11-8C81-15F0B365AC90}"/>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FED4-4F11-8C81-15F0B365AC90}"/>
              </c:ext>
            </c:extLst>
          </c:dPt>
          <c:dLbls>
            <c:dLbl>
              <c:idx val="0"/>
              <c:tx>
                <c:rich>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fld id="{B4595257-5453-4013-9C08-03E654D73716}" type="PERCENTAGE">
                      <a:rPr lang="en-US" sz="800" baseline="0"/>
                      <a:pPr>
                        <a:defRPr sz="800"/>
                      </a:pPr>
                      <a:t>[PERCENTAGE]</a:t>
                    </a:fld>
                    <a:r>
                      <a:rPr lang="en-US" sz="800" baseline="0"/>
                      <a:t> (</a:t>
                    </a:r>
                    <a:fld id="{D72A87C0-D4C7-4D79-9421-705C58A078EB}" type="VALUE">
                      <a:rPr lang="en-US" sz="800" b="1" i="0" u="none" strike="noStrike" kern="1200" baseline="0">
                        <a:solidFill>
                          <a:sysClr val="window" lastClr="FFFFFF"/>
                        </a:solidFill>
                      </a:rPr>
                      <a:pPr>
                        <a:defRPr sz="800"/>
                      </a:pPr>
                      <a:t>[VALUE]</a:t>
                    </a:fld>
                    <a:r>
                      <a:rPr lang="en-US" sz="8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ED4-4F11-8C81-15F0B365AC90}"/>
                </c:ext>
              </c:extLst>
            </c:dLbl>
            <c:dLbl>
              <c:idx val="1"/>
              <c:tx>
                <c:rich>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fld id="{3069DAF1-1115-407D-900E-09525CA43611}" type="PERCENTAGE">
                      <a:rPr lang="en-US" sz="800" baseline="0"/>
                      <a:pPr>
                        <a:defRPr sz="800"/>
                      </a:pPr>
                      <a:t>[PERCENTAGE]</a:t>
                    </a:fld>
                    <a:r>
                      <a:rPr lang="en-US" sz="800" baseline="0"/>
                      <a:t> (</a:t>
                    </a:r>
                    <a:fld id="{70D50826-5C4E-40CC-BF7C-D88F3B5CBD15}" type="VALUE">
                      <a:rPr lang="en-US" sz="800" b="1" i="0" u="none" strike="noStrike" kern="1200" baseline="0">
                        <a:solidFill>
                          <a:sysClr val="window" lastClr="FFFFFF"/>
                        </a:solidFill>
                      </a:rPr>
                      <a:pPr>
                        <a:defRPr sz="800"/>
                      </a:pPr>
                      <a:t>[VALUE]</a:t>
                    </a:fld>
                    <a:r>
                      <a:rPr lang="en-US" sz="8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ED4-4F11-8C81-15F0B365AC90}"/>
                </c:ext>
              </c:extLst>
            </c:dLbl>
            <c:dLbl>
              <c:idx val="2"/>
              <c:tx>
                <c:rich>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fld id="{8914620D-7E97-4A91-9EFD-2DB6B8A2FAE2}" type="PERCENTAGE">
                      <a:rPr lang="en-US" sz="800" baseline="0"/>
                      <a:pPr>
                        <a:defRPr sz="800"/>
                      </a:pPr>
                      <a:t>[PERCENTAGE]</a:t>
                    </a:fld>
                    <a:r>
                      <a:rPr lang="en-US" sz="800" baseline="0"/>
                      <a:t> (</a:t>
                    </a:r>
                    <a:fld id="{0A44AB1D-0FB5-47B8-9D1D-2E686438BE3E}" type="VALUE">
                      <a:rPr lang="en-US" sz="800" b="1" i="0" u="none" strike="noStrike" kern="1200" baseline="0">
                        <a:solidFill>
                          <a:sysClr val="window" lastClr="FFFFFF"/>
                        </a:solidFill>
                      </a:rPr>
                      <a:pPr>
                        <a:defRPr sz="800"/>
                      </a:pPr>
                      <a:t>[VALUE]</a:t>
                    </a:fld>
                    <a:r>
                      <a:rPr lang="en-US" sz="8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ED4-4F11-8C81-15F0B365AC90}"/>
                </c:ext>
              </c:extLst>
            </c:dLbl>
            <c:dLbl>
              <c:idx val="3"/>
              <c:tx>
                <c:rich>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fld id="{3CACA6E3-422B-4430-90C4-ED1E3BE1E284}" type="PERCENTAGE">
                      <a:rPr lang="en-US" sz="800" baseline="0"/>
                      <a:pPr>
                        <a:defRPr sz="800"/>
                      </a:pPr>
                      <a:t>[PERCENTAGE]</a:t>
                    </a:fld>
                    <a:r>
                      <a:rPr lang="en-US" sz="800" baseline="0"/>
                      <a:t> (</a:t>
                    </a:r>
                    <a:fld id="{B64D2648-30EB-4AC4-AF2C-0AB6EB1E059F}" type="VALUE">
                      <a:rPr lang="en-US" sz="800" b="1" i="0" u="none" strike="noStrike" kern="1200" baseline="0">
                        <a:solidFill>
                          <a:sysClr val="window" lastClr="FFFFFF"/>
                        </a:solidFill>
                      </a:rPr>
                      <a:pPr>
                        <a:defRPr sz="800"/>
                      </a:pPr>
                      <a:t>[VALUE]</a:t>
                    </a:fld>
                    <a:r>
                      <a:rPr lang="en-US" sz="800" b="1" i="0" u="none" strike="noStrike" kern="1200" baseline="0">
                        <a:solidFill>
                          <a:sysClr val="window" lastClr="FFFFFF"/>
                        </a:solidFill>
                      </a:rPr>
                      <a:t>)</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ED4-4F11-8C81-15F0B365AC90}"/>
                </c:ext>
              </c:extLst>
            </c:dLbl>
            <c:dLbl>
              <c:idx val="4"/>
              <c:layout>
                <c:manualLayout>
                  <c:x val="3.781630279169642E-2"/>
                  <c:y val="5.372000036821957E-2"/>
                </c:manualLayout>
              </c:layout>
              <c:tx>
                <c:rich>
                  <a:bodyPr/>
                  <a:lstStyle/>
                  <a:p>
                    <a:fld id="{E7A23930-A5E4-4C66-94B5-E516E0354566}" type="PERCENTAGE">
                      <a:rPr lang="en-US" sz="800" baseline="0"/>
                      <a:pPr/>
                      <a:t>[PERCENTAGE]</a:t>
                    </a:fld>
                    <a:r>
                      <a:rPr lang="en-US" sz="800" baseline="0"/>
                      <a:t> (</a:t>
                    </a:r>
                    <a:fld id="{349F7E75-1AAA-4A53-B218-5151D9AF2FC0}" type="VALUE">
                      <a:rPr lang="en-US" sz="800" b="1" i="0" u="none" strike="noStrike" kern="1200" baseline="0">
                        <a:solidFill>
                          <a:sysClr val="window" lastClr="FFFFFF"/>
                        </a:solidFill>
                      </a:rPr>
                      <a:pPr/>
                      <a:t>[VALUE]</a:t>
                    </a:fld>
                    <a:r>
                      <a:rPr lang="en-US" sz="800" b="1" i="0" u="none" strike="noStrike" kern="1200" baseline="0">
                        <a:solidFill>
                          <a:sysClr val="window" lastClr="FFFFFF"/>
                        </a:solidFill>
                      </a:rPr>
                      <a:t>)</a:t>
                    </a: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ED4-4F11-8C81-15F0B365AC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ESTADÍSTICAS!$A$36:$A$40</c:f>
              <c:strCache>
                <c:ptCount val="5"/>
                <c:pt idx="0">
                  <c:v>Convenio Marco</c:v>
                </c:pt>
                <c:pt idx="1">
                  <c:v>Convenio Específico</c:v>
                </c:pt>
                <c:pt idx="2">
                  <c:v>Carta de Intenciones</c:v>
                </c:pt>
                <c:pt idx="3">
                  <c:v>Memorándum de Entendimiento</c:v>
                </c:pt>
                <c:pt idx="4">
                  <c:v>Otros</c:v>
                </c:pt>
              </c:strCache>
            </c:strRef>
          </c:cat>
          <c:val>
            <c:numRef>
              <c:f>ESTADÍSTICAS!$B$36:$B$40</c:f>
              <c:numCache>
                <c:formatCode>General</c:formatCode>
                <c:ptCount val="5"/>
                <c:pt idx="0">
                  <c:v>190</c:v>
                </c:pt>
                <c:pt idx="1">
                  <c:v>102</c:v>
                </c:pt>
                <c:pt idx="2">
                  <c:v>51</c:v>
                </c:pt>
                <c:pt idx="3">
                  <c:v>34</c:v>
                </c:pt>
                <c:pt idx="4">
                  <c:v>12</c:v>
                </c:pt>
              </c:numCache>
            </c:numRef>
          </c:val>
          <c:extLst>
            <c:ext xmlns:c16="http://schemas.microsoft.com/office/drawing/2014/chart" uri="{C3380CC4-5D6E-409C-BE32-E72D297353CC}">
              <c16:uniqueId val="{0000000A-FED4-4F11-8C81-15F0B365AC90}"/>
            </c:ext>
          </c:extLst>
        </c:ser>
        <c:ser>
          <c:idx val="1"/>
          <c:order val="1"/>
          <c:tx>
            <c:strRef>
              <c:f>ESTADÍSTICAS!$C$35</c:f>
              <c:strCache>
                <c:ptCount val="1"/>
                <c:pt idx="0">
                  <c:v>PORCENTAJE</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C-FED4-4F11-8C81-15F0B365AC90}"/>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E-FED4-4F11-8C81-15F0B365AC90}"/>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0-FED4-4F11-8C81-15F0B365AC90}"/>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2-FED4-4F11-8C81-15F0B365AC90}"/>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4-FED4-4F11-8C81-15F0B365AC9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HN"/>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ESTADÍSTICAS!$A$36:$A$40</c:f>
              <c:strCache>
                <c:ptCount val="5"/>
                <c:pt idx="0">
                  <c:v>Convenio Marco</c:v>
                </c:pt>
                <c:pt idx="1">
                  <c:v>Convenio Específico</c:v>
                </c:pt>
                <c:pt idx="2">
                  <c:v>Carta de Intenciones</c:v>
                </c:pt>
                <c:pt idx="3">
                  <c:v>Memorándum de Entendimiento</c:v>
                </c:pt>
                <c:pt idx="4">
                  <c:v>Otros</c:v>
                </c:pt>
              </c:strCache>
            </c:strRef>
          </c:cat>
          <c:val>
            <c:numRef>
              <c:f>ESTADÍSTICAS!$C$36:$C$40</c:f>
              <c:numCache>
                <c:formatCode>0%</c:formatCode>
                <c:ptCount val="5"/>
                <c:pt idx="0">
                  <c:v>0.4884318766066838</c:v>
                </c:pt>
                <c:pt idx="1">
                  <c:v>0.26221079691516708</c:v>
                </c:pt>
                <c:pt idx="2">
                  <c:v>0.13110539845758354</c:v>
                </c:pt>
                <c:pt idx="3">
                  <c:v>8.7403598971722368E-2</c:v>
                </c:pt>
                <c:pt idx="4">
                  <c:v>3.0848329048843187E-2</c:v>
                </c:pt>
              </c:numCache>
            </c:numRef>
          </c:val>
          <c:extLst>
            <c:ext xmlns:c16="http://schemas.microsoft.com/office/drawing/2014/chart" uri="{C3380CC4-5D6E-409C-BE32-E72D297353CC}">
              <c16:uniqueId val="{00000015-FED4-4F11-8C81-15F0B365AC90}"/>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H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H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179070</xdr:rowOff>
    </xdr:from>
    <xdr:to>
      <xdr:col>12</xdr:col>
      <xdr:colOff>0</xdr:colOff>
      <xdr:row>24</xdr:row>
      <xdr:rowOff>0</xdr:rowOff>
    </xdr:to>
    <xdr:graphicFrame macro="">
      <xdr:nvGraphicFramePr>
        <xdr:cNvPr id="2" name="Chart 1">
          <a:extLst>
            <a:ext uri="{FF2B5EF4-FFF2-40B4-BE49-F238E27FC236}">
              <a16:creationId xmlns:a16="http://schemas.microsoft.com/office/drawing/2014/main" id="{8E097646-E3D0-5E3D-95CC-BFF532B485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601980</xdr:colOff>
      <xdr:row>25</xdr:row>
      <xdr:rowOff>7620</xdr:rowOff>
    </xdr:from>
    <xdr:to>
      <xdr:col>12</xdr:col>
      <xdr:colOff>0</xdr:colOff>
      <xdr:row>48</xdr:row>
      <xdr:rowOff>133350</xdr:rowOff>
    </xdr:to>
    <xdr:graphicFrame macro="">
      <xdr:nvGraphicFramePr>
        <xdr:cNvPr id="3" name="Chart 2">
          <a:extLst>
            <a:ext uri="{FF2B5EF4-FFF2-40B4-BE49-F238E27FC236}">
              <a16:creationId xmlns:a16="http://schemas.microsoft.com/office/drawing/2014/main" id="{5DF7D731-3134-19B0-46B9-62E7DF17B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8708</xdr:colOff>
      <xdr:row>50</xdr:row>
      <xdr:rowOff>28846</xdr:rowOff>
    </xdr:from>
    <xdr:to>
      <xdr:col>12</xdr:col>
      <xdr:colOff>13855</xdr:colOff>
      <xdr:row>72</xdr:row>
      <xdr:rowOff>143741</xdr:rowOff>
    </xdr:to>
    <xdr:graphicFrame macro="">
      <xdr:nvGraphicFramePr>
        <xdr:cNvPr id="4" name="Chart 3">
          <a:extLst>
            <a:ext uri="{FF2B5EF4-FFF2-40B4-BE49-F238E27FC236}">
              <a16:creationId xmlns:a16="http://schemas.microsoft.com/office/drawing/2014/main" id="{6BFA3A17-1D01-6EEB-C625-10F8DF6686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9779</xdr:colOff>
      <xdr:row>74</xdr:row>
      <xdr:rowOff>21821</xdr:rowOff>
    </xdr:from>
    <xdr:to>
      <xdr:col>12</xdr:col>
      <xdr:colOff>9779</xdr:colOff>
      <xdr:row>96</xdr:row>
      <xdr:rowOff>43593</xdr:rowOff>
    </xdr:to>
    <xdr:graphicFrame macro="">
      <xdr:nvGraphicFramePr>
        <xdr:cNvPr id="6" name="Chart 5">
          <a:extLst>
            <a:ext uri="{FF2B5EF4-FFF2-40B4-BE49-F238E27FC236}">
              <a16:creationId xmlns:a16="http://schemas.microsoft.com/office/drawing/2014/main" id="{82464062-82CC-4E76-94D4-BFB812F59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TIPO" displayName="TABLATIPO" ref="A35:C40" totalsRowShown="0" headerRowDxfId="26" headerRowBorderDxfId="25" tableBorderDxfId="24" totalsRowBorderDxfId="23">
  <autoFilter ref="A35:C40" xr:uid="{00000000-0009-0000-0100-000004000000}"/>
  <sortState xmlns:xlrd2="http://schemas.microsoft.com/office/spreadsheetml/2017/richdata2" ref="A36:C40">
    <sortCondition descending="1" ref="B35:B40"/>
  </sortState>
  <tableColumns count="3">
    <tableColumn id="1" xr3:uid="{00000000-0010-0000-0000-000001000000}" name="TIPO" dataDxfId="22"/>
    <tableColumn id="2" xr3:uid="{00000000-0010-0000-0000-000002000000}" name="NÚMERO" dataDxfId="21"/>
    <tableColumn id="3" xr3:uid="{00000000-0010-0000-0000-000003000000}" name="PORCENTAJE" dataDxfId="20">
      <calculatedColumnFormula>B36/$B$41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2:C32" totalsRowCount="1" headerRowDxfId="19" headerRowBorderDxfId="18" tableBorderDxfId="17" totalsRowBorderDxfId="16">
  <autoFilter ref="A22:C31" xr:uid="{00000000-0009-0000-0100-000001000000}"/>
  <sortState xmlns:xlrd2="http://schemas.microsoft.com/office/spreadsheetml/2017/richdata2" ref="A23:C31">
    <sortCondition descending="1" ref="B22:B31"/>
  </sortState>
  <tableColumns count="3">
    <tableColumn id="1" xr3:uid="{00000000-0010-0000-0100-000001000000}" name="TIPO" totalsRowLabel="TOTAL" dataDxfId="15" totalsRowDxfId="14"/>
    <tableColumn id="2" xr3:uid="{00000000-0010-0000-0100-000002000000}" name="CONVENIOS" totalsRowFunction="sum" dataDxfId="13" totalsRowDxfId="12"/>
    <tableColumn id="3" xr3:uid="{00000000-0010-0000-0100-000003000000}" name="PORCENTAJE" totalsRowFunction="sum" dataDxfId="11" totalsRowDxfId="10">
      <calculatedColumnFormula>Table1[[#This Row],[CONVENIOS]]/Table1[[#Totals],[CONVENIOS]]</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E3:G257" totalsRowShown="0" headerRowDxfId="9" tableBorderDxfId="8">
  <autoFilter ref="E3:G257" xr:uid="{00000000-0009-0000-0100-000002000000}"/>
  <sortState xmlns:xlrd2="http://schemas.microsoft.com/office/spreadsheetml/2017/richdata2" ref="E4:G257">
    <sortCondition descending="1" ref="F3:F257"/>
  </sortState>
  <tableColumns count="3">
    <tableColumn id="1" xr3:uid="{00000000-0010-0000-0200-000001000000}" name="PAÍS" dataDxfId="7"/>
    <tableColumn id="2" xr3:uid="{00000000-0010-0000-0200-000002000000}" name="CONVENIOS" dataDxfId="6"/>
    <tableColumn id="3" xr3:uid="{00000000-0010-0000-0200-000003000000}" name="PORCENTAJE" dataDxfId="5">
      <calculatedColumnFormula>Table2[[#This Row],[CONVENIOS]]/$F$258</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9:C18" totalsRowShown="0" headerRowDxfId="4" tableBorderDxfId="3">
  <autoFilter ref="A9:C18" xr:uid="{00000000-0009-0000-0100-000005000000}"/>
  <sortState xmlns:xlrd2="http://schemas.microsoft.com/office/spreadsheetml/2017/richdata2" ref="A10:C18">
    <sortCondition descending="1" ref="B9:B18"/>
  </sortState>
  <tableColumns count="3">
    <tableColumn id="1" xr3:uid="{00000000-0010-0000-0300-000001000000}" name="REGIÓN" dataDxfId="2"/>
    <tableColumn id="2" xr3:uid="{00000000-0010-0000-0300-000002000000}" name="CONVENIOS" dataDxfId="1"/>
    <tableColumn id="3" xr3:uid="{00000000-0010-0000-0300-000003000000}" name="PORCENTAJE" dataDxfId="0">
      <calculatedColumnFormula>B10/$B$19</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A2ezA62_4ut4Tr0fONIo-cO3zzMjTwnY/view?usp=sharing" TargetMode="External"/><Relationship Id="rId299" Type="http://schemas.openxmlformats.org/officeDocument/2006/relationships/hyperlink" Target="https://drive.google.com/file/d/1Lcfvhrlz8SWMZB_JEA6PFctPy74Cv_zg/view?usp=sharing" TargetMode="External"/><Relationship Id="rId21" Type="http://schemas.openxmlformats.org/officeDocument/2006/relationships/hyperlink" Target="https://drive.google.com/open?id=1KOrBV2MABdWKXUqav1UhIZuZTsGQQXX9&amp;authuser=ehglegal%40gmail.com&amp;usp=drive_fs" TargetMode="External"/><Relationship Id="rId63" Type="http://schemas.openxmlformats.org/officeDocument/2006/relationships/hyperlink" Target="https://drive.google.com/file/d/1UMl-U1oHyQ3JcoXLq67SfSv5-WsPvUqk/view?usp=sharing" TargetMode="External"/><Relationship Id="rId159" Type="http://schemas.openxmlformats.org/officeDocument/2006/relationships/hyperlink" Target="https://drive.google.com/file/d/1JbYUnBEvjcw89yjXOV2PMn4fnBHARTyT/view?usp=sharing" TargetMode="External"/><Relationship Id="rId324" Type="http://schemas.openxmlformats.org/officeDocument/2006/relationships/hyperlink" Target="https://drive.google.com/file/d/1G2MQWYGJejUpJhrmy37s7JWxbxwkC4eZ/view?usp=sharing" TargetMode="External"/><Relationship Id="rId366" Type="http://schemas.openxmlformats.org/officeDocument/2006/relationships/hyperlink" Target="https://drive.google.com/file/d/11tSG63rmEft5P5-BVOgNHk4qOFoWdgJY/view?usp=sharing" TargetMode="External"/><Relationship Id="rId170" Type="http://schemas.openxmlformats.org/officeDocument/2006/relationships/hyperlink" Target="https://drive.google.com/file/d/1WcTbTVKsSVHmap6O0XDJ22mYoXm_Gnkb/view?usp=sharing" TargetMode="External"/><Relationship Id="rId226" Type="http://schemas.openxmlformats.org/officeDocument/2006/relationships/hyperlink" Target="https://drive.google.com/file/d/1Nu1k7ofEizdD4bpnWEMqZ3V0PeTE7PM3/view?usp=sharing" TargetMode="External"/><Relationship Id="rId433" Type="http://schemas.openxmlformats.org/officeDocument/2006/relationships/hyperlink" Target="https://drive.google.com/file/d/10SOhc7OKhoyqF823bHtKaUagxqjpF7xa/view?usp=sharing" TargetMode="External"/><Relationship Id="rId268" Type="http://schemas.openxmlformats.org/officeDocument/2006/relationships/hyperlink" Target="https://drive.google.com/file/d/1GEzozUmmU12k0Kr9Uz1H4yES6EaSlW0n/view?usp=sharing" TargetMode="External"/><Relationship Id="rId475" Type="http://schemas.openxmlformats.org/officeDocument/2006/relationships/hyperlink" Target="https://drive.google.com/file/d/1b6DgClXDldJKdCl77an62g43V6qUV1Nc/view?usp=sharing" TargetMode="External"/><Relationship Id="rId32" Type="http://schemas.openxmlformats.org/officeDocument/2006/relationships/hyperlink" Target="https://drive.google.com/file/d/1S7Wh7GhCIKWgll97ltfWXAkD3F5f-It5/view?usp=sharing" TargetMode="External"/><Relationship Id="rId74" Type="http://schemas.openxmlformats.org/officeDocument/2006/relationships/hyperlink" Target="https://drive.google.com/file/d/1AZyrWSEUeEebiLFjJQm6DnNe3FprTA8C/view?usp=sharing" TargetMode="External"/><Relationship Id="rId128" Type="http://schemas.openxmlformats.org/officeDocument/2006/relationships/hyperlink" Target="https://drive.google.com/file/d/1P7ke3EkFFLjPIzu6wPZtTbbGhHKNExOr/view?usp=sharing" TargetMode="External"/><Relationship Id="rId335" Type="http://schemas.openxmlformats.org/officeDocument/2006/relationships/hyperlink" Target="https://drive.google.com/file/d/1A5_0p5HHJ6X9ajJXItMNTY3Ouc_UjtxP/view?usp=sharing" TargetMode="External"/><Relationship Id="rId377" Type="http://schemas.openxmlformats.org/officeDocument/2006/relationships/hyperlink" Target="https://drive.google.com/file/d/19ymZm_vQccWvX_BxXCC3x32y7QbOb52E/view?usp=sharing" TargetMode="External"/><Relationship Id="rId5" Type="http://schemas.openxmlformats.org/officeDocument/2006/relationships/hyperlink" Target="https://drive.google.com/open?id=1LiqRvR9TAl0YewC1gkOcrK6k4wEDhmOg&amp;authuser=ehglegal%40gmail.com&amp;usp=drive_fs" TargetMode="External"/><Relationship Id="rId181" Type="http://schemas.openxmlformats.org/officeDocument/2006/relationships/hyperlink" Target="https://drive.google.com/file/d/1BXkmWi384I_IE56tOK9-1uZFNYuMwF47/view?usp=sharing" TargetMode="External"/><Relationship Id="rId237" Type="http://schemas.openxmlformats.org/officeDocument/2006/relationships/hyperlink" Target="https://drive.google.com/file/d/1QyI6y27SdFFnfHIYFlFZkKUeTe8uDjQA/view?usp=sharing" TargetMode="External"/><Relationship Id="rId402" Type="http://schemas.openxmlformats.org/officeDocument/2006/relationships/hyperlink" Target="https://drive.google.com/file/d/11IlXkHAJMA2uFvOymZQSRiyvC4DM7MQz/view?usp=sharing" TargetMode="External"/><Relationship Id="rId279" Type="http://schemas.openxmlformats.org/officeDocument/2006/relationships/hyperlink" Target="https://drive.google.com/file/d/1MQwwZ0afaELKbF2lDxKSKe5HsRmRx1T_/view?usp=sharing" TargetMode="External"/><Relationship Id="rId444" Type="http://schemas.openxmlformats.org/officeDocument/2006/relationships/hyperlink" Target="https://drive.google.com/file/d/18AYuvx-n9xTsx-MQkd7M9N4vRJBoaPeA/view?usp=sharing" TargetMode="External"/><Relationship Id="rId486" Type="http://schemas.openxmlformats.org/officeDocument/2006/relationships/hyperlink" Target="https://drive.google.com/file/d/1pdgKt046G4GQtlrZ4DJmauNWVN0GtUn5/view?usp=sharing" TargetMode="External"/><Relationship Id="rId43" Type="http://schemas.openxmlformats.org/officeDocument/2006/relationships/hyperlink" Target="https://drive.google.com/file/d/1SRv-RyhZK2dzuXpJEGgbWYsv0K7DAqxO/view?usp=sharing" TargetMode="External"/><Relationship Id="rId139" Type="http://schemas.openxmlformats.org/officeDocument/2006/relationships/hyperlink" Target="https://drive.google.com/file/d/1Sgx8XPUypFCufyDB1A2M-yfzrVUJeFs5/view?usp=sharing" TargetMode="External"/><Relationship Id="rId290" Type="http://schemas.openxmlformats.org/officeDocument/2006/relationships/hyperlink" Target="https://drive.google.com/file/d/1SlYI69S22dP3eXiHb1R68ThdO0_sZQNj/view?usp=sharing" TargetMode="External"/><Relationship Id="rId304" Type="http://schemas.openxmlformats.org/officeDocument/2006/relationships/hyperlink" Target="https://drive.google.com/file/d/1RpSgjTQp78Lft1oB9Llq_iP5LBhXE8hv/view?usp=sharing" TargetMode="External"/><Relationship Id="rId346" Type="http://schemas.openxmlformats.org/officeDocument/2006/relationships/hyperlink" Target="https://drive.google.com/open?id=1oEz3sQ0l46xt2Rd39fG9kFzht6MY_g4D&amp;authuser=ehglegal%40gmail.com&amp;usp=drive_fs" TargetMode="External"/><Relationship Id="rId388" Type="http://schemas.openxmlformats.org/officeDocument/2006/relationships/hyperlink" Target="https://drive.google.com/file/d/13qz7xkzu41ZaHgDofBqWsoM33L5kwEDX/view?usp=sharing" TargetMode="External"/><Relationship Id="rId85" Type="http://schemas.openxmlformats.org/officeDocument/2006/relationships/hyperlink" Target="https://drive.google.com/file/d/1P0-kBBanzSJqI311j135nMBVA3KnYHLx/view?usp=sharing" TargetMode="External"/><Relationship Id="rId150" Type="http://schemas.openxmlformats.org/officeDocument/2006/relationships/hyperlink" Target="https://drive.google.com/file/d/18JmnaBhVw7q1nQPIZgHTygF22-NevpQP/view?usp=sharing" TargetMode="External"/><Relationship Id="rId192" Type="http://schemas.openxmlformats.org/officeDocument/2006/relationships/hyperlink" Target="https://drive.google.com/file/d/1SXaqXBqvn6rMC1uuSMALDpoBSR8qcVHo/view?usp=sharing" TargetMode="External"/><Relationship Id="rId206" Type="http://schemas.openxmlformats.org/officeDocument/2006/relationships/hyperlink" Target="https://drive.google.com/file/d/12TZr8lJJBEsTLJdltP2k36VA9DHwp-wn/view?usp=sharing" TargetMode="External"/><Relationship Id="rId413" Type="http://schemas.openxmlformats.org/officeDocument/2006/relationships/hyperlink" Target="https://drive.google.com/file/d/117ve0vrJhfYkgWZtBKmVhfb81h831bQJ/view?usp=sharing" TargetMode="External"/><Relationship Id="rId248" Type="http://schemas.openxmlformats.org/officeDocument/2006/relationships/hyperlink" Target="https://drive.google.com/file/d/1FXKRm1dZGwmXxCInFxK6aRmCbZaH9LZZ/view?usp=sharing" TargetMode="External"/><Relationship Id="rId455" Type="http://schemas.openxmlformats.org/officeDocument/2006/relationships/hyperlink" Target="https://drive.google.com/file/d/1bliWnWagl7XdVLuMOsnN2GM0jTKwDKRR/view?usp=share_link" TargetMode="External"/><Relationship Id="rId497" Type="http://schemas.openxmlformats.org/officeDocument/2006/relationships/vmlDrawing" Target="../drawings/vmlDrawing1.vml"/><Relationship Id="rId12" Type="http://schemas.openxmlformats.org/officeDocument/2006/relationships/hyperlink" Target="https://drive.google.com/open?id=1N0cz1dOQxtXPo66HpYESqEhh7uPwuIE_&amp;authuser=ehglegal%40gmail.com&amp;usp=drive_fs" TargetMode="External"/><Relationship Id="rId108" Type="http://schemas.openxmlformats.org/officeDocument/2006/relationships/hyperlink" Target="https://drive.google.com/open?id=1YdO8BVx9s_9hUkz4uIb5SrxkHz8UsJJ0&amp;authuser=ehglegal%40gmail.com&amp;usp=drive_fs" TargetMode="External"/><Relationship Id="rId315" Type="http://schemas.openxmlformats.org/officeDocument/2006/relationships/hyperlink" Target="https://drive.google.com/file/d/1Y8JS8i-D2B5MX_u2Me4lunOj8BQLvMbn/view?usp=sharing" TargetMode="External"/><Relationship Id="rId357" Type="http://schemas.openxmlformats.org/officeDocument/2006/relationships/hyperlink" Target="https://drive.google.com/file/d/10MzgMXwhT9EGFBt6k24YedCRQFK1z7ni/view?usp=sharing" TargetMode="External"/><Relationship Id="rId54" Type="http://schemas.openxmlformats.org/officeDocument/2006/relationships/hyperlink" Target="https://drive.google.com/file/d/1AeKFauOk9bzbZVO7J12Raw_aFQI9_Mw_/view?usp=sharing" TargetMode="External"/><Relationship Id="rId96" Type="http://schemas.openxmlformats.org/officeDocument/2006/relationships/hyperlink" Target="https://drive.google.com/file/d/1S4o3-1d5jl28aHdkvDpBN40NmKa3lU7m/view?usp=sharing" TargetMode="External"/><Relationship Id="rId161" Type="http://schemas.openxmlformats.org/officeDocument/2006/relationships/hyperlink" Target="https://drive.google.com/file/d/1K8R0J7b4iRDkpeBl33Tt4hvb_atkqglu/view?usp=sharing" TargetMode="External"/><Relationship Id="rId217" Type="http://schemas.openxmlformats.org/officeDocument/2006/relationships/hyperlink" Target="https://drive.google.com/file/d/1UuUucss738vYj9rxhaEs_6GcsYGMPsoR/view?usp=sharing" TargetMode="External"/><Relationship Id="rId399" Type="http://schemas.openxmlformats.org/officeDocument/2006/relationships/hyperlink" Target="https://drive.google.com/file/d/10DqlrVZXz802SB5SjS45cKPLwDaerrpK/view?usp=sharing" TargetMode="External"/><Relationship Id="rId259" Type="http://schemas.openxmlformats.org/officeDocument/2006/relationships/hyperlink" Target="https://drive.google.com/file/d/1WBvqAqZxZLa4kfTO7daTYUiKq_Dp14uO/view?usp=sharing" TargetMode="External"/><Relationship Id="rId424" Type="http://schemas.openxmlformats.org/officeDocument/2006/relationships/hyperlink" Target="https://drive.google.com/file/d/1JBAHYPEwb_2uL5IIDn54zcbsfRZ8gRii/view?usp=sharing" TargetMode="External"/><Relationship Id="rId466" Type="http://schemas.openxmlformats.org/officeDocument/2006/relationships/hyperlink" Target="https://drive.google.com/file/d/1k8OIIkPiWgdHjqTGpKEp6gsseEnycYtS/view?usp=sharing" TargetMode="External"/><Relationship Id="rId23" Type="http://schemas.openxmlformats.org/officeDocument/2006/relationships/hyperlink" Target="https://drive.google.com/open?id=1KQruZ07vArFIMYYJrH2BcEChCP1eKyhb&amp;authuser=ehglegal%40gmail.com&amp;usp=drive_fs" TargetMode="External"/><Relationship Id="rId119" Type="http://schemas.openxmlformats.org/officeDocument/2006/relationships/hyperlink" Target="https://drive.google.com/file/d/18bVDsjzatVxn0RTJjPnDtzrVhMSDXyLQ/view?usp=sharing" TargetMode="External"/><Relationship Id="rId270" Type="http://schemas.openxmlformats.org/officeDocument/2006/relationships/hyperlink" Target="https://drive.google.com/file/d/1EOTxvjTGqb0WzZdpUGAzwG4KqHVvfx6h/view?usp=sharing" TargetMode="External"/><Relationship Id="rId326" Type="http://schemas.openxmlformats.org/officeDocument/2006/relationships/hyperlink" Target="https://drive.google.com/file/d/1G-2411iEeJbrv1GJCQAkwKNfHnWniHsh/view?usp=sharing" TargetMode="External"/><Relationship Id="rId65" Type="http://schemas.openxmlformats.org/officeDocument/2006/relationships/hyperlink" Target="https://drive.google.com/file/d/192YZ2bgDBOBMH0Z8s-3Vh5dApejY4ao1/view?usp=sharing" TargetMode="External"/><Relationship Id="rId130" Type="http://schemas.openxmlformats.org/officeDocument/2006/relationships/hyperlink" Target="https://drive.google.com/file/d/1QckLqdySvqoCKwwDTA8S8s41OyuRtE2G/view?usp=sharing" TargetMode="External"/><Relationship Id="rId368" Type="http://schemas.openxmlformats.org/officeDocument/2006/relationships/hyperlink" Target="https://drive.google.com/file/d/1IBblreSezu6WHvA4E9uf0AeunP-tzLtX/view?usp=sharing" TargetMode="External"/><Relationship Id="rId172" Type="http://schemas.openxmlformats.org/officeDocument/2006/relationships/hyperlink" Target="https://drive.google.com/file/d/18WYeHrcVC1S2yX4iUG1wtzlG-DqKhrJ1/view?usp=sharing" TargetMode="External"/><Relationship Id="rId228" Type="http://schemas.openxmlformats.org/officeDocument/2006/relationships/hyperlink" Target="https://drive.google.com/file/d/1QCL4RzNaVhOw2Ciq-KA8HekKgko9WopC/view?usp=sharing" TargetMode="External"/><Relationship Id="rId435" Type="http://schemas.openxmlformats.org/officeDocument/2006/relationships/hyperlink" Target="https://drive.google.com/file/d/1RoptWhMbK-0l2GepKxxwd35DWVKu6r4o/view?usp=sharing" TargetMode="External"/><Relationship Id="rId477" Type="http://schemas.openxmlformats.org/officeDocument/2006/relationships/hyperlink" Target="https://drive.google.com/file/d/1bRK3B-ZXQ5r8I3v5FUmboUKPnx3teToX/view?usp=sharing" TargetMode="External"/><Relationship Id="rId281" Type="http://schemas.openxmlformats.org/officeDocument/2006/relationships/hyperlink" Target="https://drive.google.com/file/d/1F3uN-8retKUdL8LsezsYwpjCvDlb7t9w/view?usp=sharing" TargetMode="External"/><Relationship Id="rId337" Type="http://schemas.openxmlformats.org/officeDocument/2006/relationships/hyperlink" Target="https://drive.google.com/file/d/18TlDLJ_h5wSBbbWxmPlrze8TdYk00mFc/view?usp=sharing" TargetMode="External"/><Relationship Id="rId34" Type="http://schemas.openxmlformats.org/officeDocument/2006/relationships/hyperlink" Target="https://drive.google.com/file/d/1KmzCmlcd8_jFQ1Eb28vbsBosTm_UqFf6/view?usp=sharing" TargetMode="External"/><Relationship Id="rId76" Type="http://schemas.openxmlformats.org/officeDocument/2006/relationships/hyperlink" Target="https://drive.google.com/file/d/19vcd7v-8WeztmmBBqaGVBk7tkbwIi1d8/view?usp=sharing" TargetMode="External"/><Relationship Id="rId141" Type="http://schemas.openxmlformats.org/officeDocument/2006/relationships/hyperlink" Target="https://drive.google.com/file/d/1U7eNYQlm0yz_mnXh1-_av1RfqG3EOLK5/view?usp=sharing" TargetMode="External"/><Relationship Id="rId379" Type="http://schemas.openxmlformats.org/officeDocument/2006/relationships/hyperlink" Target="https://drive.google.com/file/d/11A85BWHE6AXZNXkokU4e93SHRiFNvQap/view?usp=sharing" TargetMode="External"/><Relationship Id="rId7" Type="http://schemas.openxmlformats.org/officeDocument/2006/relationships/hyperlink" Target="https://drive.google.com/open?id=1DFe3Uai12YHQf5ylciObC8vVy7grWHro&amp;authuser=ehglegal%40gmail.com&amp;usp=drive_fs" TargetMode="External"/><Relationship Id="rId183" Type="http://schemas.openxmlformats.org/officeDocument/2006/relationships/hyperlink" Target="https://drive.google.com/file/d/1BfuRifsxtMccf1S6NvgbS4psqPRJ_Ex5/view?usp=sharing" TargetMode="External"/><Relationship Id="rId239" Type="http://schemas.openxmlformats.org/officeDocument/2006/relationships/hyperlink" Target="https://drive.google.com/file/d/1V2hx8Wb9zGsOum-DjcCJg2C7yUU6zHb5/view?usp=sharing" TargetMode="External"/><Relationship Id="rId390" Type="http://schemas.openxmlformats.org/officeDocument/2006/relationships/hyperlink" Target="https://drive.google.com/file/d/12Djg8TTOa10QHkmpAPQaWUvFxv4OKNMz/view?usp=sharing" TargetMode="External"/><Relationship Id="rId404" Type="http://schemas.openxmlformats.org/officeDocument/2006/relationships/hyperlink" Target="https://drive.google.com/file/d/13M6xql_VZZUJ5sIplUTB5K9HmTxeP0S3/view?usp=sharing" TargetMode="External"/><Relationship Id="rId446" Type="http://schemas.openxmlformats.org/officeDocument/2006/relationships/hyperlink" Target="https://drive.google.com/file/d/1JcJkBAkZ4Rnj6CsogJfuv4moPU0mrsos/view?usp=sharing" TargetMode="External"/><Relationship Id="rId250" Type="http://schemas.openxmlformats.org/officeDocument/2006/relationships/hyperlink" Target="https://drive.google.com/file/d/1SS3juWfTlrfQtuplIgDedgo7PWaPJzhJ/view?usp=sharing" TargetMode="External"/><Relationship Id="rId292" Type="http://schemas.openxmlformats.org/officeDocument/2006/relationships/hyperlink" Target="https://drive.google.com/file/d/1MfLmtHQv2475-6UldAC1zM0vxEXPD4Eg/view?usp=sharing" TargetMode="External"/><Relationship Id="rId306" Type="http://schemas.openxmlformats.org/officeDocument/2006/relationships/hyperlink" Target="https://drive.google.com/file/d/1M7Szjcudud2pheDB7xbBOBuKQYYyOCxA/view?usp=sharing" TargetMode="External"/><Relationship Id="rId488" Type="http://schemas.openxmlformats.org/officeDocument/2006/relationships/hyperlink" Target="https://drive.google.com/file/d/1osrl9xNsq-afbeH_ERbw1slZLccuTTub/view?usp=sharing" TargetMode="External"/><Relationship Id="rId45" Type="http://schemas.openxmlformats.org/officeDocument/2006/relationships/hyperlink" Target="https://drive.google.com/file/d/1NdNrYAAsLjE1S_xKmbFruZluJQArUpV-/view?usp=sharing" TargetMode="External"/><Relationship Id="rId87" Type="http://schemas.openxmlformats.org/officeDocument/2006/relationships/hyperlink" Target="https://drive.google.com/file/d/1NuO3wTLkRd6Km1uMj7VTv8vbfBbhegHv/view?usp=sharing" TargetMode="External"/><Relationship Id="rId110" Type="http://schemas.openxmlformats.org/officeDocument/2006/relationships/hyperlink" Target="https://drive.google.com/file/d/1VXix28Qw_rcVf3GJaKv5UZ93uD7yZKQp/view?usp=sharing" TargetMode="External"/><Relationship Id="rId348" Type="http://schemas.openxmlformats.org/officeDocument/2006/relationships/hyperlink" Target="https://drive.google.com/file/d/1pBlhnhqynUfDwUXpBTQq6NnDdy0ySLbi/view?usp=sharing" TargetMode="External"/><Relationship Id="rId152" Type="http://schemas.openxmlformats.org/officeDocument/2006/relationships/hyperlink" Target="https://drive.google.com/file/d/1W_XKwt5Hs3kpeMZhOrhU6YkPltOiZ6j7/view?usp=sharing" TargetMode="External"/><Relationship Id="rId194" Type="http://schemas.openxmlformats.org/officeDocument/2006/relationships/hyperlink" Target="https://drive.google.com/file/d/18LzCMJEabZEaGhJyyq8ceQmF0xSSfEv4/view?usp=sharing" TargetMode="External"/><Relationship Id="rId208" Type="http://schemas.openxmlformats.org/officeDocument/2006/relationships/hyperlink" Target="https://drive.google.com/file/d/1Bfp2ZtZVKbp_y10F36PdzDeb0AP-hZ1j/view?usp=sharing" TargetMode="External"/><Relationship Id="rId415" Type="http://schemas.openxmlformats.org/officeDocument/2006/relationships/hyperlink" Target="https://drive.google.com/file/d/1J4xx5ZbE2A11HMA4jubN0wMugByBvPtW/view?usp=sharing" TargetMode="External"/><Relationship Id="rId457" Type="http://schemas.openxmlformats.org/officeDocument/2006/relationships/hyperlink" Target="https://drive.google.com/file/d/18LlqFlukbhv2xjSHQY95ESSBuJqcny7G/view?usp=sharing" TargetMode="External"/><Relationship Id="rId261" Type="http://schemas.openxmlformats.org/officeDocument/2006/relationships/hyperlink" Target="https://drive.google.com/file/d/18AZ2hdnFtIHNnEEjLIeWJvzLtd8Dhl4I/view?usp=sharing" TargetMode="External"/><Relationship Id="rId14" Type="http://schemas.openxmlformats.org/officeDocument/2006/relationships/hyperlink" Target="https://drive.google.com/open?id=1W7-vwMrvmm0efHppG6oe5U8GmGCfglwH&amp;authuser=ehglegal%40gmail.com&amp;usp=drive_fs" TargetMode="External"/><Relationship Id="rId56" Type="http://schemas.openxmlformats.org/officeDocument/2006/relationships/hyperlink" Target="https://drive.google.com/file/d/1AdbEow5vKxaJZgBm6Ru7vUZ_1zexYdFE/view?usp=sharing" TargetMode="External"/><Relationship Id="rId317" Type="http://schemas.openxmlformats.org/officeDocument/2006/relationships/hyperlink" Target="https://drive.google.com/file/d/1UV3_PW7B17NXadI3J9rEaAy-vyzJPYy2/view?usp=sharing" TargetMode="External"/><Relationship Id="rId359" Type="http://schemas.openxmlformats.org/officeDocument/2006/relationships/hyperlink" Target="https://drive.google.com/file/d/1KK3pDkbWX2I-QGYVo-xuoHbZ4gxTwIIt/view?usp=sharing" TargetMode="External"/><Relationship Id="rId98" Type="http://schemas.openxmlformats.org/officeDocument/2006/relationships/hyperlink" Target="https://drive.google.com/file/d/19bhYMRxeq_f4PNCXqLzpS6NUfPnIsDSo/view?usp=sharing" TargetMode="External"/><Relationship Id="rId121" Type="http://schemas.openxmlformats.org/officeDocument/2006/relationships/hyperlink" Target="https://drive.google.com/file/d/1LLDBYFl5pcse8ld3irb8J7KraXTJRdky/view?usp=sharing" TargetMode="External"/><Relationship Id="rId163" Type="http://schemas.openxmlformats.org/officeDocument/2006/relationships/hyperlink" Target="https://drive.google.com/file/d/1A5tzYMqn-HzR9eOYkAtDQa7Y5xyuh8ph/view?usp=sharing" TargetMode="External"/><Relationship Id="rId219" Type="http://schemas.openxmlformats.org/officeDocument/2006/relationships/hyperlink" Target="https://drive.google.com/file/d/1Nq1PLGPYRzahro9pMIqSSvJLpmSgFUWb/view?usp=sharing" TargetMode="External"/><Relationship Id="rId370" Type="http://schemas.openxmlformats.org/officeDocument/2006/relationships/hyperlink" Target="https://drive.google.com/file/d/1J6hMc39OvDByyq9yuryf23ZjHxdcS6Mv/view?usp=sharing" TargetMode="External"/><Relationship Id="rId426" Type="http://schemas.openxmlformats.org/officeDocument/2006/relationships/hyperlink" Target="https://drive.google.com/file/d/1O_IFug29GEnDo8f9sEPkLOUaxw1jpKA3/view?usp=sharing" TargetMode="External"/><Relationship Id="rId230" Type="http://schemas.openxmlformats.org/officeDocument/2006/relationships/hyperlink" Target="https://drive.google.com/file/d/1Og1brOyk_Sh0STFUHyMfSQ7nT6qZ8C42/view?usp=sharing" TargetMode="External"/><Relationship Id="rId468" Type="http://schemas.openxmlformats.org/officeDocument/2006/relationships/hyperlink" Target="https://drive.google.com/file/d/1T1lDVKIREzmYCEhJftMm3GY4ssNBmVxg/view?usp=sharing" TargetMode="External"/><Relationship Id="rId25" Type="http://schemas.openxmlformats.org/officeDocument/2006/relationships/hyperlink" Target="https://drive.google.com/open?id=1KtVtUIueVy6ek2Oy7YTvVxW_ZIuYaKzR&amp;authuser=ehglegal%40gmail.com&amp;usp=drive_fs" TargetMode="External"/><Relationship Id="rId67" Type="http://schemas.openxmlformats.org/officeDocument/2006/relationships/hyperlink" Target="https://drive.google.com/file/d/1AU9jFWhaBomPNd_c728w-08zUBargi6k/view?usp=sharing" TargetMode="External"/><Relationship Id="rId272" Type="http://schemas.openxmlformats.org/officeDocument/2006/relationships/hyperlink" Target="https://drive.google.com/file/d/1F4mkmh8oc-AduWe4GUbH_Zu1I4mSY8AG/view?usp=sharing" TargetMode="External"/><Relationship Id="rId328" Type="http://schemas.openxmlformats.org/officeDocument/2006/relationships/hyperlink" Target="https://drive.google.com/file/d/1Ri1vfUvoLwenxHeHb7C9_HqynQTmtugU/view?usp=sharing" TargetMode="External"/><Relationship Id="rId132" Type="http://schemas.openxmlformats.org/officeDocument/2006/relationships/hyperlink" Target="https://drive.google.com/file/d/1SqcSl5AAx2W2dVYpIb0LFeB4bvH7F1jS/view?usp=sharing" TargetMode="External"/><Relationship Id="rId174" Type="http://schemas.openxmlformats.org/officeDocument/2006/relationships/hyperlink" Target="https://drive.google.com/file/d/1Y1_YnZwUu_2DTZnwPNw6j-WMWHORVaOU/view?usp=sharing" TargetMode="External"/><Relationship Id="rId381" Type="http://schemas.openxmlformats.org/officeDocument/2006/relationships/hyperlink" Target="https://drive.google.com/file/d/13XSqPPUFqqtJQkVbghwJXx1HiGipa6ng/view?usp=sharing" TargetMode="External"/><Relationship Id="rId241" Type="http://schemas.openxmlformats.org/officeDocument/2006/relationships/hyperlink" Target="https://drive.google.com/file/d/1FRLuf14W-oG6lUxc6xVV0-Sa_pUskNaP/view?usp=sharing" TargetMode="External"/><Relationship Id="rId437" Type="http://schemas.openxmlformats.org/officeDocument/2006/relationships/hyperlink" Target="https://drive.google.com/file/d/10SQ0gknKMZG0_TCR04oWz3JFAGRXzSxh/view?usp=sharing" TargetMode="External"/><Relationship Id="rId479" Type="http://schemas.openxmlformats.org/officeDocument/2006/relationships/hyperlink" Target="https://drive.google.com/file/d/1peUDyO23d6w3vldH-xtnuvAw9IMrkab3/view?usp=sharing" TargetMode="External"/><Relationship Id="rId36" Type="http://schemas.openxmlformats.org/officeDocument/2006/relationships/hyperlink" Target="https://drive.google.com/file/d/19LXkn6Oab4tGknB58yfLYUULGsVk5RCk/view?usp=sharing" TargetMode="External"/><Relationship Id="rId283" Type="http://schemas.openxmlformats.org/officeDocument/2006/relationships/hyperlink" Target="https://drive.google.com/file/d/1JmPl6iYbmJsoUs1l30v3inPhRMIbXyYI/view?usp=sharing" TargetMode="External"/><Relationship Id="rId339" Type="http://schemas.openxmlformats.org/officeDocument/2006/relationships/hyperlink" Target="https://drive.google.com/file/d/18XeruWm0zeqcCCuVByqNtjWcE5Qja2eb/view?usp=sharing" TargetMode="External"/><Relationship Id="rId490" Type="http://schemas.openxmlformats.org/officeDocument/2006/relationships/hyperlink" Target="https://drive.google.com/file/d/1r3ct1xNaW5YoGk1ElLVUjF_aJ2W3clHX/view?usp=sharing" TargetMode="External"/><Relationship Id="rId78" Type="http://schemas.openxmlformats.org/officeDocument/2006/relationships/hyperlink" Target="https://drive.google.com/file/d/1XzviMk9vlLfvS1Gl-OoUJge2eGsLvC5B/view?usp=sharing" TargetMode="External"/><Relationship Id="rId101" Type="http://schemas.openxmlformats.org/officeDocument/2006/relationships/hyperlink" Target="https://drive.google.com/file/d/1Ms1D4EEZGHEnRJrEy91Nq6FsxuIeOhAB/view?usp=sharing" TargetMode="External"/><Relationship Id="rId143" Type="http://schemas.openxmlformats.org/officeDocument/2006/relationships/hyperlink" Target="https://drive.google.com/file/d/1YkwepLq6oOaAA_DmThjIV3vcfGj_jt0Q/view?usp=sharing" TargetMode="External"/><Relationship Id="rId185" Type="http://schemas.openxmlformats.org/officeDocument/2006/relationships/hyperlink" Target="https://drive.google.com/file/d/1AUdJMdgNllbRIQadnJgK0-uBsL8w6OrI/view?usp=sharing" TargetMode="External"/><Relationship Id="rId350" Type="http://schemas.openxmlformats.org/officeDocument/2006/relationships/hyperlink" Target="https://drive.google.com/file/d/1pdifYfFpYPf87dEfL-y9TF47vF79tR7U/view?usp=sharing" TargetMode="External"/><Relationship Id="rId406" Type="http://schemas.openxmlformats.org/officeDocument/2006/relationships/hyperlink" Target="https://drive.google.com/file/d/1IFt8jWoy3ElsgyaEnSOh5vU_AbmM9j5B/view?usp=sharing" TargetMode="External"/><Relationship Id="rId9" Type="http://schemas.openxmlformats.org/officeDocument/2006/relationships/hyperlink" Target="https://drive.google.com/open?id=1NDWkDs8CfYcUyMoJx1bv01IJkGqdE8en&amp;authuser=ehglegal%40gmail.com&amp;usp=drive_fs" TargetMode="External"/><Relationship Id="rId210" Type="http://schemas.openxmlformats.org/officeDocument/2006/relationships/hyperlink" Target="https://drive.google.com/file/d/1JleEoPA0b_WxQaeWFYggC4w5uzloDpvz/view?usp=sharing" TargetMode="External"/><Relationship Id="rId392" Type="http://schemas.openxmlformats.org/officeDocument/2006/relationships/hyperlink" Target="https://drive.google.com/file/d/11CFngvjORswJlDYixoajneL6kGjfTVwA/view?usp=sharing" TargetMode="External"/><Relationship Id="rId448" Type="http://schemas.openxmlformats.org/officeDocument/2006/relationships/hyperlink" Target="https://drive.google.com/file/d/18QQf-hU8fJAzteWwhYeThN9-rbzvxG1N/view?usp=sharing" TargetMode="External"/><Relationship Id="rId252" Type="http://schemas.openxmlformats.org/officeDocument/2006/relationships/hyperlink" Target="https://drive.google.com/file/d/1VxY2CsZW-1zACpOrbgFH_GQU4lJlUGyF/view?usp=sharing" TargetMode="External"/><Relationship Id="rId294" Type="http://schemas.openxmlformats.org/officeDocument/2006/relationships/hyperlink" Target="https://drive.google.com/file/d/1Rcdu70z4b9iSnkhZ8KGZCCbN9ZHEM16I/view?usp=sharing" TargetMode="External"/><Relationship Id="rId308" Type="http://schemas.openxmlformats.org/officeDocument/2006/relationships/hyperlink" Target="https://drive.google.com/file/d/1MV80CbOMpk3VN9JJfga2gJ8JR3GZjVf_/view?usp=sharing" TargetMode="External"/><Relationship Id="rId47" Type="http://schemas.openxmlformats.org/officeDocument/2006/relationships/hyperlink" Target="https://drive.google.com/file/d/1Pt7Wu9J1I9avrVaEw6f8y1uKzA7h0Tzw/view?usp=sharing" TargetMode="External"/><Relationship Id="rId89" Type="http://schemas.openxmlformats.org/officeDocument/2006/relationships/hyperlink" Target="https://drive.google.com/file/d/19FwmL0xWSGJOqdcgmEqpkq_gZapCY350/view?usp=sharing" TargetMode="External"/><Relationship Id="rId112" Type="http://schemas.openxmlformats.org/officeDocument/2006/relationships/hyperlink" Target="https://drive.google.com/file/d/1WmhJzxB6xjJNXvX0g0vPsVGsTkNU5srd/view?usp=sharing" TargetMode="External"/><Relationship Id="rId154" Type="http://schemas.openxmlformats.org/officeDocument/2006/relationships/hyperlink" Target="https://drive.google.com/file/d/1SaqM1Z_z9a174Z-hM_p0zT6Is3R3dnKN/view?usp=sharing" TargetMode="External"/><Relationship Id="rId361" Type="http://schemas.openxmlformats.org/officeDocument/2006/relationships/hyperlink" Target="https://drive.google.com/file/d/1NdA5FdJplWPCTQXyyyPSQLljj1nyoM9x/view?usp=sharing" TargetMode="External"/><Relationship Id="rId196" Type="http://schemas.openxmlformats.org/officeDocument/2006/relationships/hyperlink" Target="https://drive.google.com/file/d/1Xc-jOeBkAoS0casAvZIJM96qMztZpvVB/view?usp=sharing" TargetMode="External"/><Relationship Id="rId417" Type="http://schemas.openxmlformats.org/officeDocument/2006/relationships/hyperlink" Target="https://drive.google.com/file/d/13yev_pFCo7fVtPfIm_PE-sS6VYbyehLr/view?usp=sharing" TargetMode="External"/><Relationship Id="rId459" Type="http://schemas.openxmlformats.org/officeDocument/2006/relationships/hyperlink" Target="https://drive.google.com/file/d/1A7Tkjc1CnkyvXfFHYdcv_Ep_IMY09RS5/view?usp=sharing" TargetMode="External"/><Relationship Id="rId16" Type="http://schemas.openxmlformats.org/officeDocument/2006/relationships/hyperlink" Target="https://drive.google.com/open?id=1RDb8u-fjQAUp7nBjpiG08cjhEwfaCB-6&amp;authuser=ehglegal%40gmail.com&amp;usp=drive_fs" TargetMode="External"/><Relationship Id="rId221" Type="http://schemas.openxmlformats.org/officeDocument/2006/relationships/hyperlink" Target="https://drive.google.com/file/d/1Snuec6oe1dyrTzyi59ZrVXDsYOZ_yudQ/view?usp=sharing" TargetMode="External"/><Relationship Id="rId263" Type="http://schemas.openxmlformats.org/officeDocument/2006/relationships/hyperlink" Target="https://drive.google.com/file/d/1FYQxhwU8mieMxG1QGVKKFcGXkzJUDP2-/view?usp=sharing" TargetMode="External"/><Relationship Id="rId319" Type="http://schemas.openxmlformats.org/officeDocument/2006/relationships/hyperlink" Target="https://drive.google.com/file/d/1Jcf9qJNbBFzwQflu38FsxkOlTOr9J1Zz/view?usp=sharing" TargetMode="External"/><Relationship Id="rId470" Type="http://schemas.openxmlformats.org/officeDocument/2006/relationships/hyperlink" Target="https://drive.google.com/file/d/1aufdCLEHcKs7WtGG6AzbjGh0npXzeEI_/view?usp=sharing" TargetMode="External"/><Relationship Id="rId58" Type="http://schemas.openxmlformats.org/officeDocument/2006/relationships/hyperlink" Target="https://drive.google.com/file/d/1SlSyrbdf5aJXubUxbsmujcWMjPp3v1r3/view?usp=sharing" TargetMode="External"/><Relationship Id="rId123" Type="http://schemas.openxmlformats.org/officeDocument/2006/relationships/hyperlink" Target="https://drive.google.com/file/d/1NfwLcymHULTGHbzetqmFiS-PeQPafIlg/view?usp=sharing" TargetMode="External"/><Relationship Id="rId330" Type="http://schemas.openxmlformats.org/officeDocument/2006/relationships/hyperlink" Target="https://drive.google.com/file/d/1IjxtKJJQQYAp2Iy7A9URzx4bogOWyx1d/view?usp=sharing" TargetMode="External"/><Relationship Id="rId165" Type="http://schemas.openxmlformats.org/officeDocument/2006/relationships/hyperlink" Target="https://drive.google.com/file/d/1JPDb8uAlVb-ZYMMFxbSXkEik4JZpfjIJ/view?usp=sharing" TargetMode="External"/><Relationship Id="rId372" Type="http://schemas.openxmlformats.org/officeDocument/2006/relationships/hyperlink" Target="https://drive.google.com/file/d/11_ijMN0CxH29mWyEq_-NPJqAYbv8N16h/view?usp=sharing" TargetMode="External"/><Relationship Id="rId428" Type="http://schemas.openxmlformats.org/officeDocument/2006/relationships/hyperlink" Target="https://drive.google.com/file/d/11p7eEqr5yXHWTPyTVwExDA22lKGeXmpd/view?usp=sharing" TargetMode="External"/><Relationship Id="rId232" Type="http://schemas.openxmlformats.org/officeDocument/2006/relationships/hyperlink" Target="https://drive.google.com/file/d/1EI79jGhOTN9f0pS_MIHmv66dcXZn2NSJ/view?usp=sharing" TargetMode="External"/><Relationship Id="rId274" Type="http://schemas.openxmlformats.org/officeDocument/2006/relationships/hyperlink" Target="https://drive.google.com/file/d/1VXXg3MOj-gdK84BaTEAInuZ7qZra5vX1/view?usp=sharing" TargetMode="External"/><Relationship Id="rId481" Type="http://schemas.openxmlformats.org/officeDocument/2006/relationships/hyperlink" Target="https://drive.google.com/file/d/1PrchJWPOS5sWnDpsbfmSPPrnS-kzfj2g/view?usp=sharing" TargetMode="External"/><Relationship Id="rId27" Type="http://schemas.openxmlformats.org/officeDocument/2006/relationships/hyperlink" Target="https://drive.google.com/open?id=17vQciP46dCNU6NqaB5eGdyYdx7eWqUk_&amp;authuser=ehglegal%40gmail.com&amp;usp=drive_fs" TargetMode="External"/><Relationship Id="rId69" Type="http://schemas.openxmlformats.org/officeDocument/2006/relationships/hyperlink" Target="https://drive.google.com/file/d/181r56gC8gE5aHDsNo8DhEa4AswVCPP63/view?usp=sharing" TargetMode="External"/><Relationship Id="rId134" Type="http://schemas.openxmlformats.org/officeDocument/2006/relationships/hyperlink" Target="https://drive.google.com/file/d/1WOjLOq24oPAZ8DiG0Pa9BkHYSD7KNWfT/view?usp=sharing" TargetMode="External"/><Relationship Id="rId80" Type="http://schemas.openxmlformats.org/officeDocument/2006/relationships/hyperlink" Target="https://drive.google.com/file/d/1M9c3XjehuIb3QEie_v9RLRH7BpKi0aeE/view?usp=sharing" TargetMode="External"/><Relationship Id="rId176" Type="http://schemas.openxmlformats.org/officeDocument/2006/relationships/hyperlink" Target="https://drive.google.com/file/d/1VMgosBHklAT0fx6IHe5vn6oxyqC1yI3i/view?usp=sharing" TargetMode="External"/><Relationship Id="rId341" Type="http://schemas.openxmlformats.org/officeDocument/2006/relationships/hyperlink" Target="https://drive.google.com/file/d/18aST9OFpX1xqVUd0YldN-eQUDWrdsb2G/view?usp=sharing" TargetMode="External"/><Relationship Id="rId383" Type="http://schemas.openxmlformats.org/officeDocument/2006/relationships/hyperlink" Target="https://drive.google.com/file/d/13j7B2RDcd1q8_SJ0DPJwn70sTJWMlAIS/view?usp=sharing" TargetMode="External"/><Relationship Id="rId439" Type="http://schemas.openxmlformats.org/officeDocument/2006/relationships/hyperlink" Target="https://drive.google.com/file/d/13PMczJu-9SJCGk_PvWtyvEux0XhMqoz2/view?usp=sharing" TargetMode="External"/><Relationship Id="rId201" Type="http://schemas.openxmlformats.org/officeDocument/2006/relationships/hyperlink" Target="https://drive.google.com/file/d/1Oxr1uIgUBqN4SNKz94BmvwcHhB7mdL3D/view?usp=sharing" TargetMode="External"/><Relationship Id="rId243" Type="http://schemas.openxmlformats.org/officeDocument/2006/relationships/hyperlink" Target="https://drive.google.com/file/d/1KhyKQoATMxjKWoDzic8_agpcItR_O924/view?usp=sharing" TargetMode="External"/><Relationship Id="rId285" Type="http://schemas.openxmlformats.org/officeDocument/2006/relationships/hyperlink" Target="https://drive.google.com/file/d/1QDf0AxPdctve1SeF6p8jQ-LOZ1oSKFAJ/view?usp=sharing" TargetMode="External"/><Relationship Id="rId450" Type="http://schemas.openxmlformats.org/officeDocument/2006/relationships/hyperlink" Target="https://drive.google.com/file/d/1JL-PA-hKCWLnxlMkTvwk-yHbBYsjn6-n/view?usp=sharing" TargetMode="External"/><Relationship Id="rId38" Type="http://schemas.openxmlformats.org/officeDocument/2006/relationships/hyperlink" Target="https://drive.google.com/file/d/1QeBlpE17v7voTUfsEKtCcK3NmlR4h9xm/view?usp=sharing" TargetMode="External"/><Relationship Id="rId103" Type="http://schemas.openxmlformats.org/officeDocument/2006/relationships/hyperlink" Target="https://drive.google.com/open?id=1JlCGBwhqzQ-fOj2zUTRgduMb7WN8WoSL&amp;authuser=ehglegal%40gmail.com&amp;usp=drive_fs" TargetMode="External"/><Relationship Id="rId310" Type="http://schemas.openxmlformats.org/officeDocument/2006/relationships/hyperlink" Target="https://drive.google.com/file/d/1W-9RwU0edvINT9ROwRV09DULcFUmB1QC/view?usp=sharing" TargetMode="External"/><Relationship Id="rId492" Type="http://schemas.openxmlformats.org/officeDocument/2006/relationships/hyperlink" Target="https://drive.google.com/file/d/1jbDeNesAroTpGP_DVRGCbY8ge_ucuWg_/view?usp=sharing" TargetMode="External"/><Relationship Id="rId91" Type="http://schemas.openxmlformats.org/officeDocument/2006/relationships/hyperlink" Target="https://drive.google.com/file/d/1ABluVBtvXqUCxvKRuEAF3hrjFrvJSl3v/view?usp=sharing" TargetMode="External"/><Relationship Id="rId145" Type="http://schemas.openxmlformats.org/officeDocument/2006/relationships/hyperlink" Target="https://drive.google.com/file/d/1BbKKWWQcZslCpo7nJ9FyCzV1aupcj7G0/view?usp=sharing" TargetMode="External"/><Relationship Id="rId187" Type="http://schemas.openxmlformats.org/officeDocument/2006/relationships/hyperlink" Target="https://drive.google.com/file/d/1QAeyFfC9hmzQwZ3sHsUDNhxvW2yYI-1z/view?usp=sharing" TargetMode="External"/><Relationship Id="rId352" Type="http://schemas.openxmlformats.org/officeDocument/2006/relationships/hyperlink" Target="https://drive.google.com/file/d/1pfh0mfc0wsNQDr_Pyfh_l-sIABeuZOe7/view?usp=sharing" TargetMode="External"/><Relationship Id="rId394" Type="http://schemas.openxmlformats.org/officeDocument/2006/relationships/hyperlink" Target="https://drive.google.com/file/d/11B2y5rQf47iYjgf_pg0gG__MgUpp2Zdq/view?usp=sharing" TargetMode="External"/><Relationship Id="rId408" Type="http://schemas.openxmlformats.org/officeDocument/2006/relationships/hyperlink" Target="https://drive.google.com/file/d/1OxwbeycnBVAf0-it8msqw1oYlYlpbW1P/view?usp=sharing" TargetMode="External"/><Relationship Id="rId212" Type="http://schemas.openxmlformats.org/officeDocument/2006/relationships/hyperlink" Target="https://drive.google.com/file/d/1UXaKovh6ma_t1vJAmx968SpC92UXs_GO/view?usp=sharing" TargetMode="External"/><Relationship Id="rId254" Type="http://schemas.openxmlformats.org/officeDocument/2006/relationships/hyperlink" Target="https://drive.google.com/file/d/1SeoFlnvopqu-oWID_e8PM10Xtws2Y-e2/view?usp=sharing" TargetMode="External"/><Relationship Id="rId49" Type="http://schemas.openxmlformats.org/officeDocument/2006/relationships/hyperlink" Target="https://drive.google.com/file/d/1SpYzsnFdBW59vN0dSf754nKkAZlc0uUa/view?usp=sharing" TargetMode="External"/><Relationship Id="rId114" Type="http://schemas.openxmlformats.org/officeDocument/2006/relationships/hyperlink" Target="https://drive.google.com/file/d/1UE3bCeSOGz2M7_au4DBAOVAc7ma_EELU/view?usp=sharing" TargetMode="External"/><Relationship Id="rId296" Type="http://schemas.openxmlformats.org/officeDocument/2006/relationships/hyperlink" Target="https://drive.google.com/file/d/1SVyugD9HacWUbESDOTglEC7vqOgGoYao/view?usp=sharing" TargetMode="External"/><Relationship Id="rId461" Type="http://schemas.openxmlformats.org/officeDocument/2006/relationships/hyperlink" Target="https://drive.google.com/file/d/1OYZb-MqYd9LfvgEFjl6Am5aiW0PZbeos/view?usp=sharing" TargetMode="External"/><Relationship Id="rId60" Type="http://schemas.openxmlformats.org/officeDocument/2006/relationships/hyperlink" Target="https://drive.google.com/file/d/1OwArkcLohTq6LYRMbe8mwolHs3Z4RF4p/view?usp=sharing" TargetMode="External"/><Relationship Id="rId156" Type="http://schemas.openxmlformats.org/officeDocument/2006/relationships/hyperlink" Target="https://drive.google.com/file/d/1Vqj_MWPoMAf8N_S841KhlSWF_vSvv7Fa/view?usp=sharing" TargetMode="External"/><Relationship Id="rId198" Type="http://schemas.openxmlformats.org/officeDocument/2006/relationships/hyperlink" Target="https://drive.google.com/file/d/1NvsGec-S4wU_FbnKhn2wbrd_EGOzfOUv/view?usp=sharing" TargetMode="External"/><Relationship Id="rId321" Type="http://schemas.openxmlformats.org/officeDocument/2006/relationships/hyperlink" Target="https://drive.google.com/file/d/18vnT_EvBiClgOrO004_5xnMNFRL1-yqf/view?usp=sharing" TargetMode="External"/><Relationship Id="rId363" Type="http://schemas.openxmlformats.org/officeDocument/2006/relationships/hyperlink" Target="https://drive.google.com/file/d/1J3qvBGiXGdVGpcTEjyPmvo3VinQAL4sJ/view?usp=sharing" TargetMode="External"/><Relationship Id="rId419" Type="http://schemas.openxmlformats.org/officeDocument/2006/relationships/hyperlink" Target="https://drive.google.com/file/d/1OPHYJeR4NoE8ZKLLA2QDffzgdbpWTKzs/view?usp=sharing" TargetMode="External"/><Relationship Id="rId223" Type="http://schemas.openxmlformats.org/officeDocument/2006/relationships/hyperlink" Target="https://drive.google.com/file/d/17ngcoHQkpLze-Y0Ak4B43FpcRWuqrWSl/view?usp=sharing" TargetMode="External"/><Relationship Id="rId430" Type="http://schemas.openxmlformats.org/officeDocument/2006/relationships/hyperlink" Target="https://drive.google.com/file/d/1nif6UlrooQIscSUWCQiPI5S_HnTy5Lui/view?usp=sharing" TargetMode="External"/><Relationship Id="rId18" Type="http://schemas.openxmlformats.org/officeDocument/2006/relationships/hyperlink" Target="https://drive.google.com/open?id=12TrJz4xIypuosdOegBCZ9YAk2V0gd94u&amp;authuser=ehglegal%40gmail.com&amp;usp=drive_fs" TargetMode="External"/><Relationship Id="rId265" Type="http://schemas.openxmlformats.org/officeDocument/2006/relationships/hyperlink" Target="https://drive.google.com/file/d/1F7Zt9E_Ms3j8RYGMKJSIYSXf-NdqD_PY/view?usp=sharing" TargetMode="External"/><Relationship Id="rId472" Type="http://schemas.openxmlformats.org/officeDocument/2006/relationships/hyperlink" Target="https://drive.google.com/file/d/1b10wTvdFvvtCkyUinUQBG4D0l2G4cZWO/view?usp=sharing" TargetMode="External"/><Relationship Id="rId125" Type="http://schemas.openxmlformats.org/officeDocument/2006/relationships/hyperlink" Target="https://drive.google.com/file/d/1OFWCej0HXa4-fO5FdsNjU2hUFqypnD3m/view?usp=sharing" TargetMode="External"/><Relationship Id="rId167" Type="http://schemas.openxmlformats.org/officeDocument/2006/relationships/hyperlink" Target="https://drive.google.com/file/d/1Th57eLnsoFn8zOo8snKCZd1-7feL1IlC/view?usp=sharing" TargetMode="External"/><Relationship Id="rId332" Type="http://schemas.openxmlformats.org/officeDocument/2006/relationships/hyperlink" Target="https://drive.google.com/file/d/1-CXxHmMTSkOOeidlLhg0jBQzgAXCJpoe/view?usp=sharing" TargetMode="External"/><Relationship Id="rId374" Type="http://schemas.openxmlformats.org/officeDocument/2006/relationships/hyperlink" Target="https://drive.google.com/file/d/13OZNIlATezdKtrGOdGHUv84wvQzkJwD7/view?usp=sharing" TargetMode="External"/><Relationship Id="rId71" Type="http://schemas.openxmlformats.org/officeDocument/2006/relationships/hyperlink" Target="https://drive.google.com/file/d/1QDLn3nOS1o2XH6vsVBPp3OHHKAXLjdEn/view?usp=sharing" TargetMode="External"/><Relationship Id="rId234" Type="http://schemas.openxmlformats.org/officeDocument/2006/relationships/hyperlink" Target="https://drive.google.com/file/d/1GTYkIWdV02PpSCrUhWM4K7E16957J4jB/view?usp=sharing" TargetMode="External"/><Relationship Id="rId2" Type="http://schemas.openxmlformats.org/officeDocument/2006/relationships/hyperlink" Target="https://drive.google.com/open?id=1YBDHbDPjWLyNAvmYePUIO_8JQki6Uw-G&amp;authuser=ehglegal%40gmail.com&amp;usp=drive_fs" TargetMode="External"/><Relationship Id="rId29" Type="http://schemas.openxmlformats.org/officeDocument/2006/relationships/hyperlink" Target="https://drive.google.com/open?id=1LJua1i6JKYPTbkrbJOC_2qeUZg99-_kH&amp;authuser=ehglegal%40gmail.com&amp;usp=drive_fs" TargetMode="External"/><Relationship Id="rId276" Type="http://schemas.openxmlformats.org/officeDocument/2006/relationships/hyperlink" Target="https://drive.google.com/file/d/1TN5PlaZqOQVsHEB1Wp1p9lJvv3zHyBfM/view?usp=sharing" TargetMode="External"/><Relationship Id="rId441" Type="http://schemas.openxmlformats.org/officeDocument/2006/relationships/hyperlink" Target="https://drive.google.com/file/d/111Up1dVopXbQFFP9SMEKBNsYDjYcJT4d/view?usp=sharing" TargetMode="External"/><Relationship Id="rId483" Type="http://schemas.openxmlformats.org/officeDocument/2006/relationships/hyperlink" Target="https://drive.google.com/file/d/1mTkDNY0Sn7wPs7QlYG6lojo5R3ugON34/view?usp=sharing" TargetMode="External"/><Relationship Id="rId40" Type="http://schemas.openxmlformats.org/officeDocument/2006/relationships/hyperlink" Target="https://drive.google.com/file/d/1LOAWURD_PJyK_BqOkcsN3AJlEaWlWbUB/view?usp=sharing" TargetMode="External"/><Relationship Id="rId136" Type="http://schemas.openxmlformats.org/officeDocument/2006/relationships/hyperlink" Target="https://drive.google.com/file/d/1WZKD7xSBRKfWqmTpo1mfoXZvEWbC8AHd/view?usp=sharing" TargetMode="External"/><Relationship Id="rId178" Type="http://schemas.openxmlformats.org/officeDocument/2006/relationships/hyperlink" Target="https://drive.google.com/file/d/1SFom8c_D141RLBcENv2p0LqwD70Mdh9l/view?usp=sharing" TargetMode="External"/><Relationship Id="rId301" Type="http://schemas.openxmlformats.org/officeDocument/2006/relationships/hyperlink" Target="https://drive.google.com/file/d/1UfwauK74HNMKFToZc6YvAGRk75QxTzOm/view?usp=sharing" TargetMode="External"/><Relationship Id="rId343" Type="http://schemas.openxmlformats.org/officeDocument/2006/relationships/hyperlink" Target="https://drive.google.com/file/d/18jj-2iaKkjvRVSO7qLp8_GOqarfAV8Su/view?usp=sharing" TargetMode="External"/><Relationship Id="rId82" Type="http://schemas.openxmlformats.org/officeDocument/2006/relationships/hyperlink" Target="https://drive.google.com/file/d/1VMYfM7GFAuwjEvj9dzsynclxtLOhYiFt/view?usp=sharing" TargetMode="External"/><Relationship Id="rId203" Type="http://schemas.openxmlformats.org/officeDocument/2006/relationships/hyperlink" Target="https://drive.google.com/file/d/12LyJcs4iviBmyBqc7_F6mFZvuKwoFM2C/view?usp=sharing" TargetMode="External"/><Relationship Id="rId385" Type="http://schemas.openxmlformats.org/officeDocument/2006/relationships/hyperlink" Target="https://drive.google.com/file/d/11CZO2bBP6rVMtGI64XfyHEUGbxAUUg5k/view?usp=sharing" TargetMode="External"/><Relationship Id="rId245" Type="http://schemas.openxmlformats.org/officeDocument/2006/relationships/hyperlink" Target="https://drive.google.com/file/d/1YjcheuTuI8xJCAs4CrJfeZ9bJ1jVygUC/view?usp=sharing" TargetMode="External"/><Relationship Id="rId287" Type="http://schemas.openxmlformats.org/officeDocument/2006/relationships/hyperlink" Target="https://drive.google.com/file/d/1QHmM8d2KZfc-V97gF7eQFin2GbFHSq84/view?usp=sharing" TargetMode="External"/><Relationship Id="rId410" Type="http://schemas.openxmlformats.org/officeDocument/2006/relationships/hyperlink" Target="https://drive.google.com/file/d/13ie_ofAR2_lNdZwSdhbwLBrxCmxNJLNd/view?usp=sharing" TargetMode="External"/><Relationship Id="rId452" Type="http://schemas.openxmlformats.org/officeDocument/2006/relationships/hyperlink" Target="https://drive.google.com/file/d/1gWkkFJJLUqXlYonLigdCN8YjJ_BbeLIw/view?usp=share_link" TargetMode="External"/><Relationship Id="rId494" Type="http://schemas.openxmlformats.org/officeDocument/2006/relationships/hyperlink" Target="https://drive.google.com/file/d/1ZT3BmF14KOgoyV1OICEoa5qUjx96eNfX/view?usp=sharing" TargetMode="External"/><Relationship Id="rId105" Type="http://schemas.openxmlformats.org/officeDocument/2006/relationships/hyperlink" Target="https://drive.google.com/open?id=1K1oF1MJh3UscNh1cTqsbcyLJ14Ab9aGH&amp;authuser=ehglegal%40gmail.com&amp;usp=drive_fs" TargetMode="External"/><Relationship Id="rId147" Type="http://schemas.openxmlformats.org/officeDocument/2006/relationships/hyperlink" Target="https://drive.google.com/file/d/1Rv6-JO2VhZbWZW5MK2tUFq9A9Ab7Vgjb/view?usp=sharing" TargetMode="External"/><Relationship Id="rId312" Type="http://schemas.openxmlformats.org/officeDocument/2006/relationships/hyperlink" Target="https://drive.google.com/file/d/1NajQdNUq47n_yrx3QKmVHyA8a5a148SO/view?usp=sharing" TargetMode="External"/><Relationship Id="rId354" Type="http://schemas.openxmlformats.org/officeDocument/2006/relationships/hyperlink" Target="https://drive.google.com/file/d/1-OoP1trW9n1kVcYQivIIcRTbyOqttx3N/view?usp=sharing" TargetMode="External"/><Relationship Id="rId51" Type="http://schemas.openxmlformats.org/officeDocument/2006/relationships/hyperlink" Target="https://drive.google.com/file/d/12_suQvBQkefU_JbaXgvMw7meJn0GefJu/view?usp=sharing" TargetMode="External"/><Relationship Id="rId93" Type="http://schemas.openxmlformats.org/officeDocument/2006/relationships/hyperlink" Target="https://drive.google.com/file/d/1S7eZIjsA8EcCCNKmL9HjcDSn-OgVUF-J/view?usp=sharing" TargetMode="External"/><Relationship Id="rId189" Type="http://schemas.openxmlformats.org/officeDocument/2006/relationships/hyperlink" Target="https://drive.google.com/file/d/1Nj1o3zbTaqVbkBygjvgXHYt3ya9NaadR/view?usp=sharing" TargetMode="External"/><Relationship Id="rId396" Type="http://schemas.openxmlformats.org/officeDocument/2006/relationships/hyperlink" Target="https://drive.google.com/file/d/13a1ygRVP_icJrtXDBYtshTE53ZYVfSVV/view?usp=sharing" TargetMode="External"/><Relationship Id="rId214" Type="http://schemas.openxmlformats.org/officeDocument/2006/relationships/hyperlink" Target="https://drive.google.com/file/d/1SJGidGjMrohz4wzh8zz0ZlC1xWINdp3K/view?usp=sharing" TargetMode="External"/><Relationship Id="rId256" Type="http://schemas.openxmlformats.org/officeDocument/2006/relationships/hyperlink" Target="https://drive.google.com/file/d/1Lg942nBkumTi49oMs7QdPMuoPgX39J_d/view?usp=sharing" TargetMode="External"/><Relationship Id="rId298" Type="http://schemas.openxmlformats.org/officeDocument/2006/relationships/hyperlink" Target="https://drive.google.com/file/d/1Jb2DJPy2wQVVO4OZ2EzRSTBqO4dXbCaa/view?usp=sharing" TargetMode="External"/><Relationship Id="rId421" Type="http://schemas.openxmlformats.org/officeDocument/2006/relationships/hyperlink" Target="https://drive.google.com/file/d/117SVZAbWsOrinrQEXhKrbMXrRxMO-3Dk/view?usp=sharing" TargetMode="External"/><Relationship Id="rId463" Type="http://schemas.openxmlformats.org/officeDocument/2006/relationships/hyperlink" Target="https://drive.google.com/file/d/1TeMGU_kPKGk2s2QzWLCb79miE1Znu1RL/view?usp=sharing" TargetMode="External"/><Relationship Id="rId116" Type="http://schemas.openxmlformats.org/officeDocument/2006/relationships/hyperlink" Target="https://drive.google.com/file/d/1MTYYeF1jhoz1zHFXN6UBQDUeWQs1Ab0D/view?usp=sharing" TargetMode="External"/><Relationship Id="rId158" Type="http://schemas.openxmlformats.org/officeDocument/2006/relationships/hyperlink" Target="https://drive.google.com/file/d/1KoN3L02Z-2TnQf7AG3W4-LK6Y6sorlhX/view?usp=sharing" TargetMode="External"/><Relationship Id="rId323" Type="http://schemas.openxmlformats.org/officeDocument/2006/relationships/hyperlink" Target="https://drive.google.com/file/d/18g6PrGafAWcESpmRRIikBdahKh85ZM7J/view?usp=sharing" TargetMode="External"/><Relationship Id="rId20" Type="http://schemas.openxmlformats.org/officeDocument/2006/relationships/hyperlink" Target="https://drive.google.com/open?id=1Ju379WwdqfJQP0XjZ5aPtNuIvrsZ9D-l&amp;authuser=ehglegal%40gmail.com&amp;usp=drive_fs" TargetMode="External"/><Relationship Id="rId62" Type="http://schemas.openxmlformats.org/officeDocument/2006/relationships/hyperlink" Target="https://drive.google.com/file/d/1O3BSlCMxdDbAC_MqiJAdMJ7E7kWMKeQK/view?usp=sharing" TargetMode="External"/><Relationship Id="rId365" Type="http://schemas.openxmlformats.org/officeDocument/2006/relationships/hyperlink" Target="https://drive.google.com/file/d/19xDX29pOApguGMLNJKzqiRl1ZMCLphIH/view?usp=sharing" TargetMode="External"/><Relationship Id="rId225" Type="http://schemas.openxmlformats.org/officeDocument/2006/relationships/hyperlink" Target="https://drive.google.com/file/d/1WhdVm-jXDEMYJgH9Yv7yV0kikduHCASd/view?usp=sharing" TargetMode="External"/><Relationship Id="rId267" Type="http://schemas.openxmlformats.org/officeDocument/2006/relationships/hyperlink" Target="https://drive.google.com/file/d/1MiCfa8KcgR2HGBq3JdqC1u47Gi4BZzGj/view?usp=sharing" TargetMode="External"/><Relationship Id="rId432" Type="http://schemas.openxmlformats.org/officeDocument/2006/relationships/hyperlink" Target="https://drive.google.com/file/d/1Osuc8UaJ4DiV9_je_oFqygeLKqjbipqc/view?usp=sharing" TargetMode="External"/><Relationship Id="rId474" Type="http://schemas.openxmlformats.org/officeDocument/2006/relationships/hyperlink" Target="https://drive.google.com/file/d/1b4C0r3WJtrU_xz6gkZb5wOb_DbuVnyRt/view?usp=sharing" TargetMode="External"/><Relationship Id="rId106" Type="http://schemas.openxmlformats.org/officeDocument/2006/relationships/hyperlink" Target="https://drive.google.com/open?id=1NuYkDs_cvM3Cfq-kuk6DPoPzIVaQUlXg&amp;authuser=ehglegal%40gmail.com&amp;usp=drive_fs" TargetMode="External"/><Relationship Id="rId127" Type="http://schemas.openxmlformats.org/officeDocument/2006/relationships/hyperlink" Target="https://drive.google.com/file/d/1O7SFvq4DDKX8YRAPHCc7k9By3ohKcFSg/view?usp=sharing" TargetMode="External"/><Relationship Id="rId313" Type="http://schemas.openxmlformats.org/officeDocument/2006/relationships/hyperlink" Target="https://drive.google.com/file/d/1R_H_XUkfaPf8okQKyBhsT4i_cgFruMWO/view?usp=sharing" TargetMode="External"/><Relationship Id="rId495" Type="http://schemas.openxmlformats.org/officeDocument/2006/relationships/hyperlink" Target="https://drive.google.com/file/d/15otrqr5zn2Y3dxTzEL-6ah3NTmZ6dudJ/view?usp=sharing" TargetMode="External"/><Relationship Id="rId10" Type="http://schemas.openxmlformats.org/officeDocument/2006/relationships/hyperlink" Target="https://drive.google.com/open?id=1VpaxtqpN3thGSsCCAhguC_PAYFB6LJqN&amp;authuser=ehglegal%40gmail.com&amp;usp=drive_fs" TargetMode="External"/><Relationship Id="rId31" Type="http://schemas.openxmlformats.org/officeDocument/2006/relationships/hyperlink" Target="https://drive.google.com/file/d/1NOtbQNd2EV5IMHaLtTsuDphI7Vk94A9L/view?usp=sharing" TargetMode="External"/><Relationship Id="rId52" Type="http://schemas.openxmlformats.org/officeDocument/2006/relationships/hyperlink" Target="https://drive.google.com/file/d/17nT-LbchnaAKO_uUx2bmSGWBlTCIB_y_/view?usp=sharing" TargetMode="External"/><Relationship Id="rId73" Type="http://schemas.openxmlformats.org/officeDocument/2006/relationships/hyperlink" Target="https://drive.google.com/file/d/1QA_lrHjWo795XCeHSJE44DKI48zdaLFO/view?usp=sharing" TargetMode="External"/><Relationship Id="rId94" Type="http://schemas.openxmlformats.org/officeDocument/2006/relationships/hyperlink" Target="https://drive.google.com/file/d/19G5NZw3oiiFgtvIXjqpigbvNHMY7Anfd/view?usp=sharing" TargetMode="External"/><Relationship Id="rId148" Type="http://schemas.openxmlformats.org/officeDocument/2006/relationships/hyperlink" Target="https://drive.google.com/file/d/1S_3rVNGK47-3jdn8D1zgxV1yd7nlvmvf/view?usp=sharing" TargetMode="External"/><Relationship Id="rId169" Type="http://schemas.openxmlformats.org/officeDocument/2006/relationships/hyperlink" Target="https://drive.google.com/file/d/1OrdtAYi7IUDFwIEuXj6GMNCuwzh4uD49/view?usp=sharing" TargetMode="External"/><Relationship Id="rId334" Type="http://schemas.openxmlformats.org/officeDocument/2006/relationships/hyperlink" Target="https://drive.google.com/file/d/1rn_uNdxzab3idRqXCkq0q7ZnVcYJOJ28/view?usp=sharing" TargetMode="External"/><Relationship Id="rId355" Type="http://schemas.openxmlformats.org/officeDocument/2006/relationships/hyperlink" Target="https://drive.google.com/file/d/1-eOVXslwYg40Z2r8YEQl5ncvq3ZkryeZ/view?usp=sharing" TargetMode="External"/><Relationship Id="rId376" Type="http://schemas.openxmlformats.org/officeDocument/2006/relationships/hyperlink" Target="https://drive.google.com/file/d/124YtLdQIA5KaZ0KEQXXPKsmNSG_sH_Nb/view?usp=sharing" TargetMode="External"/><Relationship Id="rId397" Type="http://schemas.openxmlformats.org/officeDocument/2006/relationships/hyperlink" Target="https://drive.google.com/file/d/13aEVrbpjV9qJvQsj1Fw9w26Mk8ioNJtV/view?usp=sharing" TargetMode="External"/><Relationship Id="rId4" Type="http://schemas.openxmlformats.org/officeDocument/2006/relationships/hyperlink" Target="https://drive.google.com/open?id=1VM5gDE8rXJWNp9ROxh4pL2Mb4bxZwlei&amp;authuser=ehglegal%40gmail.com&amp;usp=drive_fs" TargetMode="External"/><Relationship Id="rId180" Type="http://schemas.openxmlformats.org/officeDocument/2006/relationships/hyperlink" Target="https://drive.google.com/file/d/1W0TqjH2VzkRLT0Bj-MwedBUPC8XkQNQe/view?usp=sharing" TargetMode="External"/><Relationship Id="rId215" Type="http://schemas.openxmlformats.org/officeDocument/2006/relationships/hyperlink" Target="https://drive.google.com/file/d/1YeWbsEv7ug_J7Bwl3z-PXuDqqy5WONuA/view?usp=sharing" TargetMode="External"/><Relationship Id="rId236" Type="http://schemas.openxmlformats.org/officeDocument/2006/relationships/hyperlink" Target="https://drive.google.com/file/d/1V-zW-4ushqXyNX2Bej7yr6iYEqnploWY/view?usp=sharing" TargetMode="External"/><Relationship Id="rId257" Type="http://schemas.openxmlformats.org/officeDocument/2006/relationships/hyperlink" Target="https://drive.google.com/file/d/1EGzz1EhWWwxBVieAlRd-blNZ_7Zt6nzF/view?usp=sharing" TargetMode="External"/><Relationship Id="rId278" Type="http://schemas.openxmlformats.org/officeDocument/2006/relationships/hyperlink" Target="https://drive.google.com/file/d/1Nye9C2325X2k--_s-X98TsnQyy_KGLKp/view?usp=sharing" TargetMode="External"/><Relationship Id="rId401" Type="http://schemas.openxmlformats.org/officeDocument/2006/relationships/hyperlink" Target="https://drive.google.com/file/d/13VbDByE9R9Ve1i1kPIBDDQN7foFJQK4N/view?usp=sharing" TargetMode="External"/><Relationship Id="rId422" Type="http://schemas.openxmlformats.org/officeDocument/2006/relationships/hyperlink" Target="https://drive.google.com/file/d/1IHio6pwdD53zcg3ljO-4d2boU4_uOCeM/view?usp=sharing" TargetMode="External"/><Relationship Id="rId443" Type="http://schemas.openxmlformats.org/officeDocument/2006/relationships/hyperlink" Target="https://drive.google.com/file/d/1JAd19vNhbUax90wmZIc9IovIa9sDwz9n/view?usp=sharing" TargetMode="External"/><Relationship Id="rId464" Type="http://schemas.openxmlformats.org/officeDocument/2006/relationships/hyperlink" Target="https://drive.google.com/file/d/1zYef_77kMrYbhZEKnfrbiwF8RPjIitMw/view?usp=sharing" TargetMode="External"/><Relationship Id="rId303" Type="http://schemas.openxmlformats.org/officeDocument/2006/relationships/hyperlink" Target="https://drive.google.com/file/d/1VCw7YVwW7JQ340Ygba88UT6AnBtoXr4Y/view?usp=sharing" TargetMode="External"/><Relationship Id="rId485" Type="http://schemas.openxmlformats.org/officeDocument/2006/relationships/hyperlink" Target="https://drive.google.com/file/d/1lR8gRJROcypbeOtfrS7mKt9XS3MUG2Lm/view?usp=sharing" TargetMode="External"/><Relationship Id="rId42" Type="http://schemas.openxmlformats.org/officeDocument/2006/relationships/hyperlink" Target="https://drive.google.com/file/d/1KbKBiSK-N_wZsiCDxZC8hAAeZ-z_4Y9-/view?usp=sharing" TargetMode="External"/><Relationship Id="rId84" Type="http://schemas.openxmlformats.org/officeDocument/2006/relationships/hyperlink" Target="https://drive.google.com/file/d/1BegvnRgmyFcIAhzBw5YPbEyxp0kt5YzX/view?usp=sharing" TargetMode="External"/><Relationship Id="rId138" Type="http://schemas.openxmlformats.org/officeDocument/2006/relationships/hyperlink" Target="https://drive.google.com/file/d/1VWumDCGYMSpUUXbN_sFQA0JQEPFTkPfH/view?usp=sharing" TargetMode="External"/><Relationship Id="rId345" Type="http://schemas.openxmlformats.org/officeDocument/2006/relationships/hyperlink" Target="https://drive.google.com/file/d/1Kgpq8HN5gkehoqw-1kP_YJcPd1fR90Pb/view?usp=sharing" TargetMode="External"/><Relationship Id="rId387" Type="http://schemas.openxmlformats.org/officeDocument/2006/relationships/hyperlink" Target="https://drive.google.com/file/d/126cd3tK4HnVb5MJ7_kt8WmJNI6rHoiej/view?usp=sharing" TargetMode="External"/><Relationship Id="rId191" Type="http://schemas.openxmlformats.org/officeDocument/2006/relationships/hyperlink" Target="https://drive.google.com/file/d/12JNq_UTjXGPaOphmEoNe9DhLjZoL5Vvh/view?usp=sharing" TargetMode="External"/><Relationship Id="rId205" Type="http://schemas.openxmlformats.org/officeDocument/2006/relationships/hyperlink" Target="https://drive.google.com/file/d/1QuuGRd3djMTjD2OdoTcjVFOTWTkSE32w/view?usp=sharing" TargetMode="External"/><Relationship Id="rId247" Type="http://schemas.openxmlformats.org/officeDocument/2006/relationships/hyperlink" Target="https://drive.google.com/file/d/1VVt2oTduxQvYR2lAg8QlksjxqoTop2w5/view?usp=sharing" TargetMode="External"/><Relationship Id="rId412" Type="http://schemas.openxmlformats.org/officeDocument/2006/relationships/hyperlink" Target="https://drive.google.com/file/d/10yalH0LNJhddbU9UT0f8L2lGVIMigN-C/view?usp=sharing" TargetMode="External"/><Relationship Id="rId107" Type="http://schemas.openxmlformats.org/officeDocument/2006/relationships/hyperlink" Target="https://drive.google.com/open?id=1OHksQf5h_qLY2nRL9YQ7hAttUP2N-HVu&amp;authuser=ehglegal%40gmail.com&amp;usp=drive_fs" TargetMode="External"/><Relationship Id="rId289" Type="http://schemas.openxmlformats.org/officeDocument/2006/relationships/hyperlink" Target="https://drive.google.com/file/d/1Rn_glhOJdeC0cM5V2aeX7sr80g8qke_T/view?usp=sharing" TargetMode="External"/><Relationship Id="rId454" Type="http://schemas.openxmlformats.org/officeDocument/2006/relationships/hyperlink" Target="https://drive.google.com/file/d/1WqA0LcnjuNAa152wmB8tTVqirbKfX-x_/view?usp=share_link" TargetMode="External"/><Relationship Id="rId496" Type="http://schemas.openxmlformats.org/officeDocument/2006/relationships/printerSettings" Target="../printerSettings/printerSettings1.bin"/><Relationship Id="rId11" Type="http://schemas.openxmlformats.org/officeDocument/2006/relationships/hyperlink" Target="https://drive.google.com/open?id=1SsHnBeJKFZuVd22BMmtg4inM9FOE_9ki&amp;authuser=ehglegal%40gmail.com&amp;usp=drive_fs" TargetMode="External"/><Relationship Id="rId53" Type="http://schemas.openxmlformats.org/officeDocument/2006/relationships/hyperlink" Target="https://drive.google.com/file/d/1AiezigGCnvs2Ir9T34hW24H_8_cBIrjR/view?usp=sharing" TargetMode="External"/><Relationship Id="rId149" Type="http://schemas.openxmlformats.org/officeDocument/2006/relationships/hyperlink" Target="https://drive.google.com/file/d/1VUEVmfEnoDLffE7H-YkgCU9QCBHpi7aZ/view?usp=sharing" TargetMode="External"/><Relationship Id="rId314" Type="http://schemas.openxmlformats.org/officeDocument/2006/relationships/hyperlink" Target="https://drive.google.com/file/d/1RnZiNLfqcloXnrgDXpykTmJAw_0SWNav/view?usp=sharing" TargetMode="External"/><Relationship Id="rId356" Type="http://schemas.openxmlformats.org/officeDocument/2006/relationships/hyperlink" Target="https://drive.google.com/file/d/108H4SKQnZGAouNlRfLYcda2XCLIeBqBn/view?usp=sharing" TargetMode="External"/><Relationship Id="rId398" Type="http://schemas.openxmlformats.org/officeDocument/2006/relationships/hyperlink" Target="https://drive.google.com/file/d/11Ctbfm0XzlNg6lHKlRMwwVilveL3v9Zg/view?usp=sharing" TargetMode="External"/><Relationship Id="rId95" Type="http://schemas.openxmlformats.org/officeDocument/2006/relationships/hyperlink" Target="https://drive.google.com/file/d/1VgM3KzZqyrawLtvs4rdlX1Gr3UZxUjbl/view?usp=sharing" TargetMode="External"/><Relationship Id="rId160" Type="http://schemas.openxmlformats.org/officeDocument/2006/relationships/hyperlink" Target="https://drive.google.com/file/d/1JTw149_hu9qqbkE05n3CLxmeB8JIQ6HM/view?usp=sharing" TargetMode="External"/><Relationship Id="rId216" Type="http://schemas.openxmlformats.org/officeDocument/2006/relationships/hyperlink" Target="https://drive.google.com/file/d/1XsKzFyfNE6phvhB2oXlfMi8GcdQIvcrj/view?usp=sharing" TargetMode="External"/><Relationship Id="rId423" Type="http://schemas.openxmlformats.org/officeDocument/2006/relationships/hyperlink" Target="https://drive.google.com/file/d/1TBiqlrdHEFd2POMLO6kRgn085W7pArsm/view?usp=sharing" TargetMode="External"/><Relationship Id="rId258" Type="http://schemas.openxmlformats.org/officeDocument/2006/relationships/hyperlink" Target="https://drive.google.com/file/d/1FSEahwQQp8Meux8ZPp-pMXdJPGpnBQM7/view?usp=sharing" TargetMode="External"/><Relationship Id="rId465" Type="http://schemas.openxmlformats.org/officeDocument/2006/relationships/hyperlink" Target="https://drive.google.com/file/d/15zUr7O5640ynL0ke4YsMnRlWhbktJ8e3/view?usp=sharing" TargetMode="External"/><Relationship Id="rId22" Type="http://schemas.openxmlformats.org/officeDocument/2006/relationships/hyperlink" Target="https://drive.google.com/open?id=1KBep8G31ncMwODvXag-kDMd4y5wscG8K&amp;authuser=ehglegal%40gmail.com&amp;usp=drive_fs" TargetMode="External"/><Relationship Id="rId64" Type="http://schemas.openxmlformats.org/officeDocument/2006/relationships/hyperlink" Target="https://drive.google.com/file/d/1XaVy4nbFV8atOFDwAMWSUgIFQDtQCqRI/view?usp=sharing" TargetMode="External"/><Relationship Id="rId118" Type="http://schemas.openxmlformats.org/officeDocument/2006/relationships/hyperlink" Target="https://drive.google.com/file/d/1995rQtNAEHBkcJUzrHRG-j2TQbmGYLh9/view?usp=sharing" TargetMode="External"/><Relationship Id="rId325" Type="http://schemas.openxmlformats.org/officeDocument/2006/relationships/hyperlink" Target="https://drive.google.com/file/d/1F0N1dXVx8hkngolW3xnG2KcmK1Iz7b-Q/view?usp=sharing" TargetMode="External"/><Relationship Id="rId367" Type="http://schemas.openxmlformats.org/officeDocument/2006/relationships/hyperlink" Target="https://drive.google.com/file/d/10VG5lPYPJs-FP0HYylSb5YdNuHicTG14/view?usp=sharing" TargetMode="External"/><Relationship Id="rId171" Type="http://schemas.openxmlformats.org/officeDocument/2006/relationships/hyperlink" Target="https://drive.google.com/file/d/19LFb4CWnl4i0D_hZQqyzpT93eTBAToqc/view?usp=sharing" TargetMode="External"/><Relationship Id="rId227" Type="http://schemas.openxmlformats.org/officeDocument/2006/relationships/hyperlink" Target="https://drive.google.com/file/d/1VIKO5yuKsDxDOfYfppxhkER5ALv3kTo0/view?usp=sharing" TargetMode="External"/><Relationship Id="rId269" Type="http://schemas.openxmlformats.org/officeDocument/2006/relationships/hyperlink" Target="https://drive.google.com/file/d/1ObbqwACustRRpoFfzFacV8c3ZBj2ucqV/view?usp=sharing" TargetMode="External"/><Relationship Id="rId434" Type="http://schemas.openxmlformats.org/officeDocument/2006/relationships/hyperlink" Target="https://drive.google.com/file/d/1OuhRWkH1-4SgVW1JkDrR8jQaMg2eLE26/view?usp=sharing" TargetMode="External"/><Relationship Id="rId476" Type="http://schemas.openxmlformats.org/officeDocument/2006/relationships/hyperlink" Target="https://drive.google.com/file/d/1bBzs-CgNYIDQn6CUiVyuCmP2PDs08A9J/view?usp=sharing" TargetMode="External"/><Relationship Id="rId33" Type="http://schemas.openxmlformats.org/officeDocument/2006/relationships/hyperlink" Target="https://drive.google.com/file/d/12LQ43v8vpdTfR_2ksZz-1r7mv7MwWDKJ/view?usp=sharing" TargetMode="External"/><Relationship Id="rId129" Type="http://schemas.openxmlformats.org/officeDocument/2006/relationships/hyperlink" Target="https://drive.google.com/file/d/1O4PItHfVCnCt7tnSz8_rZ7nw_nP4Cn1s/view?usp=sharing" TargetMode="External"/><Relationship Id="rId280" Type="http://schemas.openxmlformats.org/officeDocument/2006/relationships/hyperlink" Target="https://drive.google.com/file/d/1Uk9iyFoL0tnscf1Ugjesp_cbE6xQDPyW/view?usp=sharing" TargetMode="External"/><Relationship Id="rId336" Type="http://schemas.openxmlformats.org/officeDocument/2006/relationships/hyperlink" Target="https://drive.google.com/file/d/18YRIN499R8YctqDyIDP0oLVN1e62tCk6/view?usp=sharing" TargetMode="External"/><Relationship Id="rId75" Type="http://schemas.openxmlformats.org/officeDocument/2006/relationships/hyperlink" Target="https://drive.google.com/file/d/1Pox99P4ahBKGNFZJ5OiG-XArGYat-OSZ/view?usp=sharing" TargetMode="External"/><Relationship Id="rId140" Type="http://schemas.openxmlformats.org/officeDocument/2006/relationships/hyperlink" Target="https://drive.google.com/file/d/1LTM_0THF2e9F9i0RrwHPOR0gwUxiD-lT/view?usp=sharing" TargetMode="External"/><Relationship Id="rId182" Type="http://schemas.openxmlformats.org/officeDocument/2006/relationships/hyperlink" Target="https://drive.google.com/file/d/1Qu__Zgz3l7oRBJP6uomkwmlWpMheTt-U/view?usp=sharing" TargetMode="External"/><Relationship Id="rId378" Type="http://schemas.openxmlformats.org/officeDocument/2006/relationships/hyperlink" Target="https://drive.google.com/file/d/11f8yvJTfXKTQwUZlvpp3uJeNJR3eecpr/view?usp=sharing" TargetMode="External"/><Relationship Id="rId403" Type="http://schemas.openxmlformats.org/officeDocument/2006/relationships/hyperlink" Target="https://drive.google.com/file/d/13eni6ungHNBxw9BEYEy38HdoMHTgTYbt/view?usp=sharing" TargetMode="External"/><Relationship Id="rId6" Type="http://schemas.openxmlformats.org/officeDocument/2006/relationships/hyperlink" Target="https://drive.google.com/open?id=1Le-wKhtJMzdJEt0tUG5oPZ2S2Ww8MKEl&amp;authuser=ehglegal%40gmail.com&amp;usp=drive_fs" TargetMode="External"/><Relationship Id="rId238" Type="http://schemas.openxmlformats.org/officeDocument/2006/relationships/hyperlink" Target="https://drive.google.com/file/d/1W-toiYiheXBavlRB2wwWuCu9_R2S_ocp/view?usp=sharing" TargetMode="External"/><Relationship Id="rId445" Type="http://schemas.openxmlformats.org/officeDocument/2006/relationships/hyperlink" Target="https://drive.google.com/file/d/1JWHNt1eEghQUgXORZHUG8bTAwoE1mxfk/view?usp=sharing" TargetMode="External"/><Relationship Id="rId487" Type="http://schemas.openxmlformats.org/officeDocument/2006/relationships/hyperlink" Target="https://drive.google.com/file/d/1oo5YSOa02ehIesU82EbmYWIKc3-o2ROM/view?usp=sharing" TargetMode="External"/><Relationship Id="rId291" Type="http://schemas.openxmlformats.org/officeDocument/2006/relationships/hyperlink" Target="https://drive.google.com/file/d/1NAFqwxdoch-h8PkyJSDN4TPDXIVLMc6B/view?usp=sharing" TargetMode="External"/><Relationship Id="rId305" Type="http://schemas.openxmlformats.org/officeDocument/2006/relationships/hyperlink" Target="https://drive.google.com/file/d/1KOslgkVnsNSTMDYQd8h9R5feBv8o6CRY/view?usp=sharing" TargetMode="External"/><Relationship Id="rId347" Type="http://schemas.openxmlformats.org/officeDocument/2006/relationships/hyperlink" Target="https://drive.google.com/file/d/1X4C4TNaivzRWsR49eRj7BBAP2rZoD7h2/view?usp=sharing" TargetMode="External"/><Relationship Id="rId44" Type="http://schemas.openxmlformats.org/officeDocument/2006/relationships/hyperlink" Target="https://drive.google.com/file/d/1McXT_fOx9GRkVv7gRBE92e8hXonYrlFo/view?usp=sharing" TargetMode="External"/><Relationship Id="rId86" Type="http://schemas.openxmlformats.org/officeDocument/2006/relationships/hyperlink" Target="https://drive.google.com/file/d/1Rq0o9nzsVvUV1H-IzMSqjjuUue8Ix-eS/view?usp=sharing" TargetMode="External"/><Relationship Id="rId151" Type="http://schemas.openxmlformats.org/officeDocument/2006/relationships/hyperlink" Target="https://drive.google.com/file/d/1UN-nEfcolTanRhZnqVjkpSN-Itj5utmy/view?usp=sharing" TargetMode="External"/><Relationship Id="rId389" Type="http://schemas.openxmlformats.org/officeDocument/2006/relationships/hyperlink" Target="https://drive.google.com/file/d/1vYcgAF7mjYYQc4qU0x0vQtrMWV7HMy_M/view?usp=sharing" TargetMode="External"/><Relationship Id="rId193" Type="http://schemas.openxmlformats.org/officeDocument/2006/relationships/hyperlink" Target="https://drive.google.com/file/d/1OV7f4Fk_g_RV1meVsZ3cI8_Y1iXuxlbG/view?usp=sharing" TargetMode="External"/><Relationship Id="rId207" Type="http://schemas.openxmlformats.org/officeDocument/2006/relationships/hyperlink" Target="https://drive.google.com/file/d/12So1-clu2NjpvgF8LA8tEREXBSC_ko5F/view?usp=sharing" TargetMode="External"/><Relationship Id="rId249" Type="http://schemas.openxmlformats.org/officeDocument/2006/relationships/hyperlink" Target="https://drive.google.com/file/d/1CR3GElb6ATOoxTmdGLfKlIusAqeclQVA/view?usp=sharing" TargetMode="External"/><Relationship Id="rId414" Type="http://schemas.openxmlformats.org/officeDocument/2006/relationships/hyperlink" Target="https://drive.google.com/file/d/102luspggCdhHoeCyvKb8FsEQ_l7ugAoH/view?usp=sharing" TargetMode="External"/><Relationship Id="rId456" Type="http://schemas.openxmlformats.org/officeDocument/2006/relationships/hyperlink" Target="https://drive.google.com/file/d/1THg6zq8EDAMdy9sVwUKgz2nHyVz7iCFw/view?usp=sharing" TargetMode="External"/><Relationship Id="rId498" Type="http://schemas.openxmlformats.org/officeDocument/2006/relationships/comments" Target="../comments1.xml"/><Relationship Id="rId13" Type="http://schemas.openxmlformats.org/officeDocument/2006/relationships/hyperlink" Target="https://drive.google.com/open?id=1OsmQnYvhUdn_dpH18y3vXf4FSpaIwEB1&amp;authuser=ehglegal%40gmail.com&amp;usp=drive_fs" TargetMode="External"/><Relationship Id="rId109" Type="http://schemas.openxmlformats.org/officeDocument/2006/relationships/hyperlink" Target="https://drive.google.com/open?id=1XgBmjDOupKIjbQm2gqK3010Y04zv0wGJ&amp;authuser=ehglegal%40gmail.com&amp;usp=drive_fs" TargetMode="External"/><Relationship Id="rId260" Type="http://schemas.openxmlformats.org/officeDocument/2006/relationships/hyperlink" Target="https://drive.google.com/file/d/1G_s_EgA1wRG2cLd1j0n8S0fV_K4_Qf7V/view?usp=sharing" TargetMode="External"/><Relationship Id="rId316" Type="http://schemas.openxmlformats.org/officeDocument/2006/relationships/hyperlink" Target="https://drive.google.com/file/d/1Uqk81wQq0qQcNJU1oZGhzOXuuaCZFcYp/view?usp=sharing" TargetMode="External"/><Relationship Id="rId55" Type="http://schemas.openxmlformats.org/officeDocument/2006/relationships/hyperlink" Target="https://drive.google.com/file/d/19Z0T6HbG8QX1loqUyG-XhEPediuIWBse/view?usp=sharing" TargetMode="External"/><Relationship Id="rId97" Type="http://schemas.openxmlformats.org/officeDocument/2006/relationships/hyperlink" Target="https://drive.google.com/file/d/1TqnK2FGhAYSqLJIebtog1rjjN2JNui7Z/view?usp=sharing" TargetMode="External"/><Relationship Id="rId120" Type="http://schemas.openxmlformats.org/officeDocument/2006/relationships/hyperlink" Target="https://drive.google.com/file/d/1UX_Hg_h6jtG8jquVIbae11MO33Tk9pQu/view?usp=sharing" TargetMode="External"/><Relationship Id="rId358" Type="http://schemas.openxmlformats.org/officeDocument/2006/relationships/hyperlink" Target="https://drive.google.com/file/d/10EJaJZ51ERfxyIm6yRyV1Rtme5__H2bb/view?usp=sharing" TargetMode="External"/><Relationship Id="rId162" Type="http://schemas.openxmlformats.org/officeDocument/2006/relationships/hyperlink" Target="https://drive.google.com/file/d/1KA3i5eXCRSegRHQi2exMoRXTmZMcmWTj/view?usp=sharing" TargetMode="External"/><Relationship Id="rId218" Type="http://schemas.openxmlformats.org/officeDocument/2006/relationships/hyperlink" Target="https://drive.google.com/file/d/18zdHftcwBih6zOt1ys1ZrtnXcdagpovW/view?usp=sharing" TargetMode="External"/><Relationship Id="rId425" Type="http://schemas.openxmlformats.org/officeDocument/2006/relationships/hyperlink" Target="https://drive.google.com/file/d/1JF040RXBOd-nfqE6eVJkkd4K52ibM9ql/view?usp=sharing" TargetMode="External"/><Relationship Id="rId467" Type="http://schemas.openxmlformats.org/officeDocument/2006/relationships/hyperlink" Target="https://drive.google.com/file/d/10XYiIOfR27dfYEBb1TczaEowL3iiCt-6/view?usp=sharing" TargetMode="External"/><Relationship Id="rId271" Type="http://schemas.openxmlformats.org/officeDocument/2006/relationships/hyperlink" Target="https://drive.google.com/file/d/1Tq-4Un2whis7ThrwpdqaohY43P-mDQhT/view?usp=sharing" TargetMode="External"/><Relationship Id="rId24" Type="http://schemas.openxmlformats.org/officeDocument/2006/relationships/hyperlink" Target="https://drive.google.com/open?id=1KbCmqLx3kgSM7frlTugj_v8dGcrgEjI6&amp;authuser=ehglegal%40gmail.com&amp;usp=drive_fs" TargetMode="External"/><Relationship Id="rId66" Type="http://schemas.openxmlformats.org/officeDocument/2006/relationships/hyperlink" Target="https://drive.google.com/file/d/1UFfQNOacAILDmjjFxS7w4FJRN86LKcmm/view?usp=sharing" TargetMode="External"/><Relationship Id="rId131" Type="http://schemas.openxmlformats.org/officeDocument/2006/relationships/hyperlink" Target="https://drive.google.com/file/d/1QYMrFYcF-jO9-HD2Sy-V93hLdoAg5Uo4/view?usp=sharing" TargetMode="External"/><Relationship Id="rId327" Type="http://schemas.openxmlformats.org/officeDocument/2006/relationships/hyperlink" Target="https://drive.google.com/file/d/1REBcndtmVKjZ3SoQU5yfnuIGFpaqx-iV/view?usp=sharing" TargetMode="External"/><Relationship Id="rId369" Type="http://schemas.openxmlformats.org/officeDocument/2006/relationships/hyperlink" Target="https://drive.google.com/file/d/11DCpBSZ54_00cup-T_J0x-yqJKAIpc5b/view?usp=sharing" TargetMode="External"/><Relationship Id="rId173" Type="http://schemas.openxmlformats.org/officeDocument/2006/relationships/hyperlink" Target="https://drive.google.com/file/d/1R22150QsXTq7ctwiv06qGtTRtIYKbl2c/view?usp=sharing" TargetMode="External"/><Relationship Id="rId229" Type="http://schemas.openxmlformats.org/officeDocument/2006/relationships/hyperlink" Target="https://drive.google.com/file/d/1O0yyA4ugjlNjtNEnExGe2jcdKjdLzm43/view?usp=sharing" TargetMode="External"/><Relationship Id="rId380" Type="http://schemas.openxmlformats.org/officeDocument/2006/relationships/hyperlink" Target="https://drive.google.com/file/d/1J5UAH8FIlfdLsufutgzIK2YrhCHIotLK/view?usp=sharing" TargetMode="External"/><Relationship Id="rId436" Type="http://schemas.openxmlformats.org/officeDocument/2006/relationships/hyperlink" Target="https://drive.google.com/file/d/182Dq1iYBa43S4q47QY74HM10G8gM4xV8/view?usp=sharing" TargetMode="External"/><Relationship Id="rId240" Type="http://schemas.openxmlformats.org/officeDocument/2006/relationships/hyperlink" Target="https://drive.google.com/file/d/1WChEooMdew8URbrTY9Wj7pucCI8pbyl3/view?usp=sharing" TargetMode="External"/><Relationship Id="rId478" Type="http://schemas.openxmlformats.org/officeDocument/2006/relationships/hyperlink" Target="https://drive.google.com/file/d/1bGR11KkkkKpiiYiLwCC9kCSE4tF-rvb6/view?usp=sharing" TargetMode="External"/><Relationship Id="rId35" Type="http://schemas.openxmlformats.org/officeDocument/2006/relationships/hyperlink" Target="https://drive.google.com/file/d/1U8kLUcgGoA8TJTYb41Yrnyt0kzKN9VuT/view?usp=sharing" TargetMode="External"/><Relationship Id="rId77" Type="http://schemas.openxmlformats.org/officeDocument/2006/relationships/hyperlink" Target="https://drive.google.com/file/d/1XugXZ_RbA_uSXSpf6CBXrkcsi2Bu-CAE/view?usp=sharing" TargetMode="External"/><Relationship Id="rId100" Type="http://schemas.openxmlformats.org/officeDocument/2006/relationships/hyperlink" Target="https://drive.google.com/file/d/1KdFqLMeOPvRkeP3d5TfSdPO3tqflyqUy/view?usp=sharing" TargetMode="External"/><Relationship Id="rId282" Type="http://schemas.openxmlformats.org/officeDocument/2006/relationships/hyperlink" Target="https://drive.google.com/file/d/1Up-rgdwaKptchbebRMX34Vc6eu7WWIWC/view?usp=sharing" TargetMode="External"/><Relationship Id="rId338" Type="http://schemas.openxmlformats.org/officeDocument/2006/relationships/hyperlink" Target="https://drive.google.com/file/d/18Vij2iJaa6rOGMBXZ8fA4L_OTjS_tjCl/view?usp=sharing" TargetMode="External"/><Relationship Id="rId8" Type="http://schemas.openxmlformats.org/officeDocument/2006/relationships/hyperlink" Target="https://drive.google.com/open?id=1MRcPXRXO53vUdNe4v8yR5SWCRVAROeKa&amp;authuser=ehglegal%40gmail.com&amp;usp=drive_fs" TargetMode="External"/><Relationship Id="rId142" Type="http://schemas.openxmlformats.org/officeDocument/2006/relationships/hyperlink" Target="https://drive.google.com/file/d/19-0qxoFmKeZ--pr40WOfU_FvszB65_rT/view?usp=sharing" TargetMode="External"/><Relationship Id="rId184" Type="http://schemas.openxmlformats.org/officeDocument/2006/relationships/hyperlink" Target="https://drive.google.com/file/d/1QH5RmS_gE8XFty-G_IKrfUUIuEpxPbP6/view?usp=sharing" TargetMode="External"/><Relationship Id="rId391" Type="http://schemas.openxmlformats.org/officeDocument/2006/relationships/hyperlink" Target="https://drive.google.com/file/d/13_rHq5Bz7pzQeJ27P_8rLlxAezHor3rW/view?usp=sharing" TargetMode="External"/><Relationship Id="rId405" Type="http://schemas.openxmlformats.org/officeDocument/2006/relationships/hyperlink" Target="https://drive.google.com/file/d/13MJ97Z15fu87fzJxE2csZts6gxe0KJKL/view?usp=sharing" TargetMode="External"/><Relationship Id="rId447" Type="http://schemas.openxmlformats.org/officeDocument/2006/relationships/hyperlink" Target="https://drive.google.com/file/d/19uvxNEN07oVbDdd9CEOB2Y7SLP1L_53R/view?usp=sharing" TargetMode="External"/><Relationship Id="rId251" Type="http://schemas.openxmlformats.org/officeDocument/2006/relationships/hyperlink" Target="https://drive.google.com/file/d/1VAixq-OXNXEd1g5VVr-eGohXhSRhlcYn/view?usp=sharing" TargetMode="External"/><Relationship Id="rId489" Type="http://schemas.openxmlformats.org/officeDocument/2006/relationships/hyperlink" Target="https://drive.google.com/file/d/13ziF-oYU-1lUFoSuGu2equKs94xX_ieI/view?usp=sharing" TargetMode="External"/><Relationship Id="rId46" Type="http://schemas.openxmlformats.org/officeDocument/2006/relationships/hyperlink" Target="https://drive.google.com/file/d/1Jy9b7YwYOP20b8pXHksGBsIE96n4mXlN/view?usp=sharing" TargetMode="External"/><Relationship Id="rId293" Type="http://schemas.openxmlformats.org/officeDocument/2006/relationships/hyperlink" Target="https://drive.google.com/file/d/1GSju8rzngRKFTfb6nJVwFtBp5Zf8kpG1/view?usp=sharing" TargetMode="External"/><Relationship Id="rId307" Type="http://schemas.openxmlformats.org/officeDocument/2006/relationships/hyperlink" Target="https://drive.google.com/file/d/1Vg9v0hG76ji5iNmejpdd0TeBZxWPGwgt/view?usp=sharing" TargetMode="External"/><Relationship Id="rId349" Type="http://schemas.openxmlformats.org/officeDocument/2006/relationships/hyperlink" Target="https://drive.google.com/file/d/1pD8NQR5UgC-csb72xKZen0LyUj1DUE9a/view?usp=sharing" TargetMode="External"/><Relationship Id="rId88" Type="http://schemas.openxmlformats.org/officeDocument/2006/relationships/hyperlink" Target="https://drive.google.com/file/d/1904OFiYo6n59vw_cZiBJxFRHr6Ao3J-t/view?usp=sharing" TargetMode="External"/><Relationship Id="rId111" Type="http://schemas.openxmlformats.org/officeDocument/2006/relationships/hyperlink" Target="https://drive.google.com/file/d/1WcCM5RknmJObEf5MY4cS8D_Lja24U-8i/view?usp=sharing" TargetMode="External"/><Relationship Id="rId153" Type="http://schemas.openxmlformats.org/officeDocument/2006/relationships/hyperlink" Target="https://drive.google.com/file/d/1Uvc5AjMu-M2P0p3Dp3hv--gSIh_arCQI/view?usp=sharing" TargetMode="External"/><Relationship Id="rId195" Type="http://schemas.openxmlformats.org/officeDocument/2006/relationships/hyperlink" Target="https://drive.google.com/file/d/1XW8rCupDieWCCshsRSufN3RsFMYFiw5J/view?usp=sharing" TargetMode="External"/><Relationship Id="rId209" Type="http://schemas.openxmlformats.org/officeDocument/2006/relationships/hyperlink" Target="https://drive.google.com/file/d/1MNMshj5cDtro_G4B6Z5Fnbp2e-mLl4aN/view?usp=sharing" TargetMode="External"/><Relationship Id="rId360" Type="http://schemas.openxmlformats.org/officeDocument/2006/relationships/hyperlink" Target="https://drive.google.com/file/d/1GL3gc6I66gijenWLV_eLmGOmuRRBGS4N/view?usp=sharing" TargetMode="External"/><Relationship Id="rId416" Type="http://schemas.openxmlformats.org/officeDocument/2006/relationships/hyperlink" Target="https://drive.google.com/file/d/1JXnMAeaUiMygsSf5hRMqYaI992VFN11_/view?usp=sharing" TargetMode="External"/><Relationship Id="rId220" Type="http://schemas.openxmlformats.org/officeDocument/2006/relationships/hyperlink" Target="https://drive.google.com/file/d/1XMpjPOfdSRyi81aZsM7nCVlOf_QXgxsc/view?usp=sharing" TargetMode="External"/><Relationship Id="rId458" Type="http://schemas.openxmlformats.org/officeDocument/2006/relationships/hyperlink" Target="https://drive.google.com/file/d/1Of1J9-E8i5UFrDg3nNdjMwYR7mUvFwYL/view?usp=sharing" TargetMode="External"/><Relationship Id="rId15" Type="http://schemas.openxmlformats.org/officeDocument/2006/relationships/hyperlink" Target="https://drive.google.com/open?id=1AeWShINZqjUv-jhwchaZSEToPY9z23W2&amp;authuser=ehglegal%40gmail.com&amp;usp=drive_fs" TargetMode="External"/><Relationship Id="rId57" Type="http://schemas.openxmlformats.org/officeDocument/2006/relationships/hyperlink" Target="https://drive.google.com/file/d/1YlSkOHJcrpKdFHa8zyu4SWhXJiGSeK7o/view?usp=sharing" TargetMode="External"/><Relationship Id="rId262" Type="http://schemas.openxmlformats.org/officeDocument/2006/relationships/hyperlink" Target="https://drive.google.com/file/d/1NqWjvKPWtR-sMvl8qbTGx5l0G8SSMJkN/view?usp=sharing" TargetMode="External"/><Relationship Id="rId318" Type="http://schemas.openxmlformats.org/officeDocument/2006/relationships/hyperlink" Target="https://drive.google.com/file/d/1RGAuIJ1UpA7ehgRVpnBOqCDLfyYn-xs2/view?usp=sharing" TargetMode="External"/><Relationship Id="rId99" Type="http://schemas.openxmlformats.org/officeDocument/2006/relationships/hyperlink" Target="https://drive.google.com/file/d/1LduVdf90VWZWzBh1HBJ4P5b_Tyj97-Pc/view?usp=sharing" TargetMode="External"/><Relationship Id="rId122" Type="http://schemas.openxmlformats.org/officeDocument/2006/relationships/hyperlink" Target="https://drive.google.com/file/d/1MKqBp1HRVnEUOUU5dsea68PUfQPdEQdt/view?usp=sharing" TargetMode="External"/><Relationship Id="rId164" Type="http://schemas.openxmlformats.org/officeDocument/2006/relationships/hyperlink" Target="https://drive.google.com/file/d/1LAi0TaQAYzuKZ3y6lozgS8ATbSYn_h25/view?usp=sharing" TargetMode="External"/><Relationship Id="rId371" Type="http://schemas.openxmlformats.org/officeDocument/2006/relationships/hyperlink" Target="https://drive.google.com/file/d/1vO4ug1rcFDbGfm0CaakyqYRRzuuI9NA4/view?usp=sharing" TargetMode="External"/><Relationship Id="rId427" Type="http://schemas.openxmlformats.org/officeDocument/2006/relationships/hyperlink" Target="https://drive.google.com/file/d/11ki7dVNltiV4zJ0pvpDYL8hFzmhbfE-J/view?usp=sharing" TargetMode="External"/><Relationship Id="rId469" Type="http://schemas.openxmlformats.org/officeDocument/2006/relationships/hyperlink" Target="https://drive.google.com/file/d/1apSUaBc7iH2v14YgarLkzwT_pZO6hCgp/view?usp=sharing" TargetMode="External"/><Relationship Id="rId26" Type="http://schemas.openxmlformats.org/officeDocument/2006/relationships/hyperlink" Target="https://drive.google.com/open?id=1TpM8hCAb0jeDbjgAI0MnRZMahlc6Y6c5&amp;authuser=ehglegal%40gmail.com&amp;usp=drive_fs" TargetMode="External"/><Relationship Id="rId231" Type="http://schemas.openxmlformats.org/officeDocument/2006/relationships/hyperlink" Target="https://drive.google.com/file/d/1RcCIBnC_AP4jl40jI4aODcRCIKrVPmjM/view?usp=sharing" TargetMode="External"/><Relationship Id="rId273" Type="http://schemas.openxmlformats.org/officeDocument/2006/relationships/hyperlink" Target="https://drive.google.com/file/d/1VbGodpHBdN36eWQ9TIoG0cV6OqbBT5Bt/view?usp=sharing" TargetMode="External"/><Relationship Id="rId329" Type="http://schemas.openxmlformats.org/officeDocument/2006/relationships/hyperlink" Target="https://drive.google.com/file/d/1RWYeUOTVpZi7WRgCmE-CCtMsILO3XYPh/view?usp=sharing" TargetMode="External"/><Relationship Id="rId480" Type="http://schemas.openxmlformats.org/officeDocument/2006/relationships/hyperlink" Target="https://drive.google.com/file/d/1MOKCUjwCCIhytVK5tNOVkPbEcYaJ70dT/view?usp=sharing" TargetMode="External"/><Relationship Id="rId68" Type="http://schemas.openxmlformats.org/officeDocument/2006/relationships/hyperlink" Target="https://drive.google.com/file/d/1AENddyPUe31H6-nUrq1h7I_uaT8mIP2_/view?usp=sharing" TargetMode="External"/><Relationship Id="rId133" Type="http://schemas.openxmlformats.org/officeDocument/2006/relationships/hyperlink" Target="https://drive.google.com/file/d/1Vuxsq9tMcoenFHzKr4l-MDhGne_6ABMk/view?usp=sharing" TargetMode="External"/><Relationship Id="rId175" Type="http://schemas.openxmlformats.org/officeDocument/2006/relationships/hyperlink" Target="https://drive.google.com/file/d/1K125bCRwccq10hJFhK7dqUMsODOc6kMt/view?usp=sharing" TargetMode="External"/><Relationship Id="rId340" Type="http://schemas.openxmlformats.org/officeDocument/2006/relationships/hyperlink" Target="https://drive.google.com/file/d/18VNxeJsRCrHBSZ5NxdrDVcBBbFEl23a4/view?usp=sharing" TargetMode="External"/><Relationship Id="rId200" Type="http://schemas.openxmlformats.org/officeDocument/2006/relationships/hyperlink" Target="https://drive.google.com/file/d/19HKoJELR52YG5VatfvAl0OfcC36WaYsi/view?usp=sharing" TargetMode="External"/><Relationship Id="rId382" Type="http://schemas.openxmlformats.org/officeDocument/2006/relationships/hyperlink" Target="https://drive.google.com/file/d/109Ou24m11ydNw6lED7dyqL7aTFfkqfym/view?usp=sharing" TargetMode="External"/><Relationship Id="rId438" Type="http://schemas.openxmlformats.org/officeDocument/2006/relationships/hyperlink" Target="https://drive.google.com/file/d/18BvCxEj-uF2bp16b1ZOVDoo6hzu5yw2n/view?usp=sharing" TargetMode="External"/><Relationship Id="rId242" Type="http://schemas.openxmlformats.org/officeDocument/2006/relationships/hyperlink" Target="https://drive.google.com/file/d/1GjPLmBGeqSbS-qOMloiEupEECxwYFy3X/view?usp=sharing" TargetMode="External"/><Relationship Id="rId284" Type="http://schemas.openxmlformats.org/officeDocument/2006/relationships/hyperlink" Target="https://drive.google.com/file/d/1S5SSNQtYICHhwy-jX1A71O6-_41UMnLs/view?usp=sharing" TargetMode="External"/><Relationship Id="rId491" Type="http://schemas.openxmlformats.org/officeDocument/2006/relationships/hyperlink" Target="https://drive.google.com/file/d/1oLK-kLCrKesE5wio0fFvMiY_BPjgAv_z/view?usp=sharing" TargetMode="External"/><Relationship Id="rId37" Type="http://schemas.openxmlformats.org/officeDocument/2006/relationships/hyperlink" Target="https://drive.google.com/file/d/1LkQ86sDR1mXMmWLrNYFs5OYI4I2hbfLO/view?usp=sharing" TargetMode="External"/><Relationship Id="rId79" Type="http://schemas.openxmlformats.org/officeDocument/2006/relationships/hyperlink" Target="https://drive.google.com/file/d/19FUu9QgauY6VVFdR8l6fbeOla9vOMyiI/view?usp=sharing" TargetMode="External"/><Relationship Id="rId102" Type="http://schemas.openxmlformats.org/officeDocument/2006/relationships/hyperlink" Target="https://drive.google.com/open?id=1JlxXkIvBFMUBqrLEaYWLfQ2cIVC3NjqX&amp;authuser=ehglegal%40gmail.com&amp;usp=drive_fs" TargetMode="External"/><Relationship Id="rId144" Type="http://schemas.openxmlformats.org/officeDocument/2006/relationships/hyperlink" Target="https://drive.google.com/file/d/1TSebdRGwMzc4OwXe6MmSPTaAInOQsM0S/view?usp=sharing" TargetMode="External"/><Relationship Id="rId90" Type="http://schemas.openxmlformats.org/officeDocument/2006/relationships/hyperlink" Target="https://drive.google.com/file/d/18xeeHuX_0mbEvzd21qPCcRgk--fsFf_T/view?usp=sharing" TargetMode="External"/><Relationship Id="rId186" Type="http://schemas.openxmlformats.org/officeDocument/2006/relationships/hyperlink" Target="https://drive.google.com/file/d/1QWXXqGO1ieD1QuVa95GSengu7jE08Tk0/view?usp=sharing" TargetMode="External"/><Relationship Id="rId351" Type="http://schemas.openxmlformats.org/officeDocument/2006/relationships/hyperlink" Target="https://drive.google.com/file/d/1pbsk31fTnTRomP9vCNghMtoTuA-r1wv_/view?usp=sharing" TargetMode="External"/><Relationship Id="rId393" Type="http://schemas.openxmlformats.org/officeDocument/2006/relationships/hyperlink" Target="https://drive.google.com/file/d/1vpfcfBe99b6FbvkoejYTMnpiCA7BmGWT/view?usp=sharing" TargetMode="External"/><Relationship Id="rId407" Type="http://schemas.openxmlformats.org/officeDocument/2006/relationships/hyperlink" Target="https://drive.google.com/file/d/1J6xOHW_VMzZ-HGbXh3u0t19-XZBUsMS-/view?usp=sharing" TargetMode="External"/><Relationship Id="rId449" Type="http://schemas.openxmlformats.org/officeDocument/2006/relationships/hyperlink" Target="https://drive.google.com/file/d/1PB0OBJptm61I5DdRPJW84eggYZibYYTZ/view?usp=sharing" TargetMode="External"/><Relationship Id="rId211" Type="http://schemas.openxmlformats.org/officeDocument/2006/relationships/hyperlink" Target="https://drive.google.com/file/d/1Rt1lRukRYkiTujVgYP_ibwNfEKXjBUGr/view?usp=sharing" TargetMode="External"/><Relationship Id="rId253" Type="http://schemas.openxmlformats.org/officeDocument/2006/relationships/hyperlink" Target="https://drive.google.com/file/d/1Wkmn69NFBENqD9yd_p_JgpskxR9ekkft/view?usp=sharing" TargetMode="External"/><Relationship Id="rId295" Type="http://schemas.openxmlformats.org/officeDocument/2006/relationships/hyperlink" Target="https://drive.google.com/file/d/1M1Gsavan3jIahOp_d40Czb1AxIJoEAHk/view?usp=sharing" TargetMode="External"/><Relationship Id="rId309" Type="http://schemas.openxmlformats.org/officeDocument/2006/relationships/hyperlink" Target="https://drive.google.com/file/d/1G0n89YrrZCKhKvZmXnTzRuajcywekRgl/view?usp=sharing" TargetMode="External"/><Relationship Id="rId460" Type="http://schemas.openxmlformats.org/officeDocument/2006/relationships/hyperlink" Target="https://drive.google.com/file/d/1XgsbJyJNYUmCAMXdoJSuO5SMNSjnoWrX/view?usp=sharing" TargetMode="External"/><Relationship Id="rId48" Type="http://schemas.openxmlformats.org/officeDocument/2006/relationships/hyperlink" Target="https://drive.google.com/file/d/1VAezOQE7N09s-HfsxyIh3uags2zoV6w3/view?usp=sharing" TargetMode="External"/><Relationship Id="rId113" Type="http://schemas.openxmlformats.org/officeDocument/2006/relationships/hyperlink" Target="https://drive.google.com/file/d/1YCJdZdZ9EyJEzmmPTXJ1w0W4ZXePoyXn/view?usp=sharing" TargetMode="External"/><Relationship Id="rId320" Type="http://schemas.openxmlformats.org/officeDocument/2006/relationships/hyperlink" Target="https://drive.google.com/file/d/18i5noPmL0_ZxTgG2wRuAjlaqak-XF-qx/view?usp=sharing" TargetMode="External"/><Relationship Id="rId155" Type="http://schemas.openxmlformats.org/officeDocument/2006/relationships/hyperlink" Target="https://drive.google.com/file/d/1MZ4ym3E7pFlxaS3dPgTv2UaXwmwpMLQ9/view?usp=sharing" TargetMode="External"/><Relationship Id="rId197" Type="http://schemas.openxmlformats.org/officeDocument/2006/relationships/hyperlink" Target="https://drive.google.com/file/d/1ZSEDiglJNu2pRfITXYQBlfqa1HgYHbUA/view?usp=sharing" TargetMode="External"/><Relationship Id="rId362" Type="http://schemas.openxmlformats.org/officeDocument/2006/relationships/hyperlink" Target="https://drive.google.com/file/d/1IJQyj75ml_ZQBuhJiP4p-tBJgqJrYc1F/view?usp=sharing" TargetMode="External"/><Relationship Id="rId418" Type="http://schemas.openxmlformats.org/officeDocument/2006/relationships/hyperlink" Target="https://drive.google.com/file/d/1IK4oqOnULMQcqvudFhFQtGcAeaekOPV9/view?usp=sharing" TargetMode="External"/><Relationship Id="rId222" Type="http://schemas.openxmlformats.org/officeDocument/2006/relationships/hyperlink" Target="https://drive.google.com/file/d/1AB4SQfXtJryXGYUWUjoN2tiNlxS-Qsho/view?usp=sharing" TargetMode="External"/><Relationship Id="rId264" Type="http://schemas.openxmlformats.org/officeDocument/2006/relationships/hyperlink" Target="https://drive.google.com/file/d/1TW4iIgd3guAtwxrkZ5zmX7me3oTpiLbQ/view?usp=sharing" TargetMode="External"/><Relationship Id="rId471" Type="http://schemas.openxmlformats.org/officeDocument/2006/relationships/hyperlink" Target="https://drive.google.com/file/d/1auvnFRLovttk9bbXW1oJ4caJwi9ZxG7d/view?usp=sharing" TargetMode="External"/><Relationship Id="rId17" Type="http://schemas.openxmlformats.org/officeDocument/2006/relationships/hyperlink" Target="https://drive.google.com/open?id=1QJ3Ge7lWcnBOntypNiTwVNT8jsUaUXU8&amp;authuser=ehglegal%40gmail.com&amp;usp=drive_fs" TargetMode="External"/><Relationship Id="rId59" Type="http://schemas.openxmlformats.org/officeDocument/2006/relationships/hyperlink" Target="https://drive.google.com/file/d/1QK9l__kifaBLQlMQAbc9so20d_UGORcv/view?usp=sharing" TargetMode="External"/><Relationship Id="rId124" Type="http://schemas.openxmlformats.org/officeDocument/2006/relationships/hyperlink" Target="https://drive.google.com/file/d/1QwWuCtLIanFek_EoaADpFeSA25aFfDmU/view?usp=sharing" TargetMode="External"/><Relationship Id="rId70" Type="http://schemas.openxmlformats.org/officeDocument/2006/relationships/hyperlink" Target="https://drive.google.com/file/d/1O4SQnD9-ujLJlzbL2WQXynP19UIaXWuR/view?usp=sharing" TargetMode="External"/><Relationship Id="rId166" Type="http://schemas.openxmlformats.org/officeDocument/2006/relationships/hyperlink" Target="https://drive.google.com/file/d/1VxTCYEgYumQlCN0LdwBJvWmuLJX966Ij/view?usp=sharing" TargetMode="External"/><Relationship Id="rId331" Type="http://schemas.openxmlformats.org/officeDocument/2006/relationships/hyperlink" Target="https://drive.google.com/file/d/1IouFjdqQW-imIu6ePsRvD68qccfTT4WG/view?usp=sharing" TargetMode="External"/><Relationship Id="rId373" Type="http://schemas.openxmlformats.org/officeDocument/2006/relationships/hyperlink" Target="https://drive.google.com/file/d/13Wn_EY4rZv4QXJg68_o1yPfbVNRFwc0g/view?usp=sharing" TargetMode="External"/><Relationship Id="rId429" Type="http://schemas.openxmlformats.org/officeDocument/2006/relationships/hyperlink" Target="https://drive.google.com/file/d/11FZ7PuzUCGdWPWD23JFXdHfilnW5oJ6B/view?usp=sharing" TargetMode="External"/><Relationship Id="rId1" Type="http://schemas.openxmlformats.org/officeDocument/2006/relationships/hyperlink" Target="https://drive.google.com/open?id=1Y4Ern2OzpEk4mPPLuxs8YkeCey6H6Apz&amp;authuser=ehglegal%40gmail.com&amp;usp=drive_fs" TargetMode="External"/><Relationship Id="rId233" Type="http://schemas.openxmlformats.org/officeDocument/2006/relationships/hyperlink" Target="https://drive.google.com/file/d/1MuH-ORB7qS3BYOqcJS3zQkZtAbgEiRVy/view?usp=sharing" TargetMode="External"/><Relationship Id="rId440" Type="http://schemas.openxmlformats.org/officeDocument/2006/relationships/hyperlink" Target="https://drive.google.com/file/d/13Lombx0qaoGXqRUEUeiWiECTugHzSGQx/view?usp=sharing" TargetMode="External"/><Relationship Id="rId28" Type="http://schemas.openxmlformats.org/officeDocument/2006/relationships/hyperlink" Target="https://drive.google.com/open?id=1OZDYP_XNkDiJLv_Spz9U0CCUpKkIA7bJ&amp;authuser=ehglegal%40gmail.com&amp;usp=drive_fs" TargetMode="External"/><Relationship Id="rId275" Type="http://schemas.openxmlformats.org/officeDocument/2006/relationships/hyperlink" Target="https://drive.google.com/file/d/1WvTahL4m73uoSWFyj9z4tvUUMYPOfR5F/view?usp=sharing" TargetMode="External"/><Relationship Id="rId300" Type="http://schemas.openxmlformats.org/officeDocument/2006/relationships/hyperlink" Target="https://drive.google.com/file/d/1BpaROqaSOh8HvpjjxFU_elgkvDfEK6hx/view?usp=sharing" TargetMode="External"/><Relationship Id="rId482" Type="http://schemas.openxmlformats.org/officeDocument/2006/relationships/hyperlink" Target="https://drive.google.com/file/d/15-yehMAUKupmNs09juOztcE7Ys82nf6J/view?usp=sharing" TargetMode="External"/><Relationship Id="rId81" Type="http://schemas.openxmlformats.org/officeDocument/2006/relationships/hyperlink" Target="https://drive.google.com/file/d/1Pv759HLQnqzQgFdIJKIZYTfdAn05IgNP/view?usp=sharing" TargetMode="External"/><Relationship Id="rId135" Type="http://schemas.openxmlformats.org/officeDocument/2006/relationships/hyperlink" Target="https://drive.google.com/file/d/1WVh_pCREgJ0s1rkyHEcvrzi5E2DygwJM/view?usp=sharing" TargetMode="External"/><Relationship Id="rId177" Type="http://schemas.openxmlformats.org/officeDocument/2006/relationships/hyperlink" Target="https://drive.google.com/file/d/1ZNDinArwBl8Mn7BQKh_1HnToNDvbUnzH/view?usp=sharing" TargetMode="External"/><Relationship Id="rId342" Type="http://schemas.openxmlformats.org/officeDocument/2006/relationships/hyperlink" Target="https://drive.google.com/file/d/1KUsnrT-lOwV-lmly0nIR1mj7nRCd9uGf/view?usp=sharing" TargetMode="External"/><Relationship Id="rId384" Type="http://schemas.openxmlformats.org/officeDocument/2006/relationships/hyperlink" Target="https://drive.google.com/file/d/13kw5PEhq0JrRkGABwkFsBmEoCViQCJFj/view?usp=sharing" TargetMode="External"/><Relationship Id="rId202" Type="http://schemas.openxmlformats.org/officeDocument/2006/relationships/hyperlink" Target="https://drive.google.com/file/d/1ONP8uUX6q4ETwu_nwestIY8TeSyqWWVw/view?usp=sharing" TargetMode="External"/><Relationship Id="rId244" Type="http://schemas.openxmlformats.org/officeDocument/2006/relationships/hyperlink" Target="https://drive.google.com/file/d/1UTpwvfMzITEH-pMoYMF1NK_4UVq2jddU/view?usp=sharing" TargetMode="External"/><Relationship Id="rId39" Type="http://schemas.openxmlformats.org/officeDocument/2006/relationships/hyperlink" Target="https://drive.google.com/file/d/1Yi247aiP1dG_7iR6hV36-H8tZZonkGTz/view?usp=sharing" TargetMode="External"/><Relationship Id="rId286" Type="http://schemas.openxmlformats.org/officeDocument/2006/relationships/hyperlink" Target="https://drive.google.com/file/d/1QQxRDZuPWAnwQ3Ja9Z9Y2A_jgphsmlBc/view?usp=sharing" TargetMode="External"/><Relationship Id="rId451" Type="http://schemas.openxmlformats.org/officeDocument/2006/relationships/hyperlink" Target="https://drive.google.com/file/d/1JftjLNWyISbnD4RtHENE3wI-O-o_HFCJ/view?usp=sharing" TargetMode="External"/><Relationship Id="rId493" Type="http://schemas.openxmlformats.org/officeDocument/2006/relationships/hyperlink" Target="https://drive.google.com/file/d/1rv3VuoPK-OmkRSMgNWUwwhC6u8pCZMd4/view?usp=sharing" TargetMode="External"/><Relationship Id="rId50" Type="http://schemas.openxmlformats.org/officeDocument/2006/relationships/hyperlink" Target="https://drive.google.com/file/d/19IVAeT7ROYUFEDmMtoSaaNLa-QT9GD9Z/view?usp=sharing" TargetMode="External"/><Relationship Id="rId104" Type="http://schemas.openxmlformats.org/officeDocument/2006/relationships/hyperlink" Target="https://drive.google.com/open?id=19kCTCs3KYXj-aCTNdo07-WuRRHotzj1L&amp;authuser=ehglegal%40gmail.com&amp;usp=drive_fs" TargetMode="External"/><Relationship Id="rId146" Type="http://schemas.openxmlformats.org/officeDocument/2006/relationships/hyperlink" Target="https://drive.google.com/file/d/1PeDTICSbYKIs6TZu3Hk5gbvytzqzxOKO/view?usp=sharing" TargetMode="External"/><Relationship Id="rId188" Type="http://schemas.openxmlformats.org/officeDocument/2006/relationships/hyperlink" Target="https://drive.google.com/file/d/1OivzTJgHzSPZcgPv1mcXft90Yy4XIE7a/view?usp=sharing" TargetMode="External"/><Relationship Id="rId311" Type="http://schemas.openxmlformats.org/officeDocument/2006/relationships/hyperlink" Target="https://drive.google.com/file/d/1NbCnxcB7l-RUvBuDIGklJNUBGLlQC6cv/view?usp=sharing" TargetMode="External"/><Relationship Id="rId353" Type="http://schemas.openxmlformats.org/officeDocument/2006/relationships/hyperlink" Target="https://drive.google.com/file/d/1-YSHSRLvWCZim3pT-kgCahPuOIK7hY4u/view?usp=sharing" TargetMode="External"/><Relationship Id="rId395" Type="http://schemas.openxmlformats.org/officeDocument/2006/relationships/hyperlink" Target="https://drive.google.com/file/d/11B2y5rQf47iYjgf_pg0gG__MgUpp2Zdq/view?usp=sharing" TargetMode="External"/><Relationship Id="rId409" Type="http://schemas.openxmlformats.org/officeDocument/2006/relationships/hyperlink" Target="https://drive.google.com/file/d/1T5T2c5k5-TGlOp2fT2XZky2l4_Ogxluz/view?usp=sharing" TargetMode="External"/><Relationship Id="rId92" Type="http://schemas.openxmlformats.org/officeDocument/2006/relationships/hyperlink" Target="https://drive.google.com/file/d/1Yjh6a-_G9d7Wlpmk4HJ6l52pKawGpaTz/view?usp=sharing" TargetMode="External"/><Relationship Id="rId213" Type="http://schemas.openxmlformats.org/officeDocument/2006/relationships/hyperlink" Target="https://drive.google.com/file/d/1T_nQ_vPpCMEsMfOnDB4UoBLbsbSxZDHK/view?usp=sharing" TargetMode="External"/><Relationship Id="rId420" Type="http://schemas.openxmlformats.org/officeDocument/2006/relationships/hyperlink" Target="https://drive.google.com/file/d/1ORLV5xJTuV1NRovzpPxjJEgAJ1bCsX56/view?usp=sharing" TargetMode="External"/><Relationship Id="rId255" Type="http://schemas.openxmlformats.org/officeDocument/2006/relationships/hyperlink" Target="https://drive.google.com/file/d/1Jf8TNsAE_CSJFxZKgHSaAkoPZn3t_6Zk/view?usp=sharing" TargetMode="External"/><Relationship Id="rId297" Type="http://schemas.openxmlformats.org/officeDocument/2006/relationships/hyperlink" Target="https://drive.google.com/file/d/1Vj19wGWAUa2pYdgTiQN-_YAaROnV0plw/view?usp=sharing" TargetMode="External"/><Relationship Id="rId462" Type="http://schemas.openxmlformats.org/officeDocument/2006/relationships/hyperlink" Target="https://drive.google.com/file/d/1JhO9kmPMNduhLN4iiLSU7lytSJId_2yj/view?usp=sharing" TargetMode="External"/><Relationship Id="rId115" Type="http://schemas.openxmlformats.org/officeDocument/2006/relationships/hyperlink" Target="https://drive.google.com/file/d/1WLgxFfEvVYq8Nz8WScKUidTchX5nr9_V/view?usp=sharing" TargetMode="External"/><Relationship Id="rId157" Type="http://schemas.openxmlformats.org/officeDocument/2006/relationships/hyperlink" Target="https://drive.google.com/file/d/1Sj_nrpxbILNH2eLdJQs4dAl5KCkNEpme/view?usp=sharing" TargetMode="External"/><Relationship Id="rId322" Type="http://schemas.openxmlformats.org/officeDocument/2006/relationships/hyperlink" Target="https://drive.google.com/file/d/19-KDpSMAKgXwzyMB4pA-Bb8kR3Lt24b-/view?usp=sharing" TargetMode="External"/><Relationship Id="rId364" Type="http://schemas.openxmlformats.org/officeDocument/2006/relationships/hyperlink" Target="https://drive.google.com/file/d/10nkEEs5e9b1DtEAJhtlGlj8EMP40Aikm/view?usp=sharing" TargetMode="External"/><Relationship Id="rId61" Type="http://schemas.openxmlformats.org/officeDocument/2006/relationships/hyperlink" Target="https://drive.google.com/file/d/1OolMaMeeEoBJabndJNY0VcUjgp8DKYlb/view?usp=sharing" TargetMode="External"/><Relationship Id="rId199" Type="http://schemas.openxmlformats.org/officeDocument/2006/relationships/hyperlink" Target="https://drive.google.com/file/d/1RDSkUgPF0YC5axQZlBXz5jALuiTKumoz/view?usp=sharing" TargetMode="External"/><Relationship Id="rId19" Type="http://schemas.openxmlformats.org/officeDocument/2006/relationships/hyperlink" Target="https://drive.google.com/open?id=1K2kNhh0NhgrejiXFsJ0xojTGQ7szBihf&amp;authuser=ehglegal%40gmail.com&amp;usp=drive_fs" TargetMode="External"/><Relationship Id="rId224" Type="http://schemas.openxmlformats.org/officeDocument/2006/relationships/hyperlink" Target="https://drive.google.com/file/d/1Ug_-eNgBnGaMCB0lHZc25qlPbkv_NzD8/view?usp=sharing" TargetMode="External"/><Relationship Id="rId266" Type="http://schemas.openxmlformats.org/officeDocument/2006/relationships/hyperlink" Target="https://drive.google.com/file/d/1MsQBGMZAHX5JMH12T4lNeV-Ow_TvBjvN/view?usp=sharing" TargetMode="External"/><Relationship Id="rId431" Type="http://schemas.openxmlformats.org/officeDocument/2006/relationships/hyperlink" Target="https://drive.google.com/file/d/13UXW4uRfRS85Tto-guVszc7uJjUf-TCJ/view?usp=sharing" TargetMode="External"/><Relationship Id="rId473" Type="http://schemas.openxmlformats.org/officeDocument/2006/relationships/hyperlink" Target="https://drive.google.com/file/d/1bQ8x96nheYp-f9XRFnwbrBlV7nNp6Rhf/view?usp=sharing" TargetMode="External"/><Relationship Id="rId30" Type="http://schemas.openxmlformats.org/officeDocument/2006/relationships/hyperlink" Target="https://drive.google.com/open?id=1KfTbqONbOaLV_c7O0gECwcUnfQorWiw6&amp;authuser=ehglegal%40gmail.com&amp;usp=drive_fs" TargetMode="External"/><Relationship Id="rId126" Type="http://schemas.openxmlformats.org/officeDocument/2006/relationships/hyperlink" Target="https://drive.google.com/file/d/1PgxqWgAqefWwXSLGjgxRynkZKeLJTPKY/view?usp=sharing" TargetMode="External"/><Relationship Id="rId168" Type="http://schemas.openxmlformats.org/officeDocument/2006/relationships/hyperlink" Target="https://drive.google.com/file/d/1Stm8zzsg_qI-TZ_Ta2XAOxHJvqqheKhP/view?usp=sharing" TargetMode="External"/><Relationship Id="rId333" Type="http://schemas.openxmlformats.org/officeDocument/2006/relationships/hyperlink" Target="https://drive.google.com/file/d/1-Eiqax4TGWV-XSe-ozerrm8ahROT28wq/view?usp=sharing" TargetMode="External"/><Relationship Id="rId72" Type="http://schemas.openxmlformats.org/officeDocument/2006/relationships/hyperlink" Target="https://drive.google.com/file/d/1WkH0OgdiSaIEy-6nxfeq7UuV9JeNf05b/view?usp=sharing" TargetMode="External"/><Relationship Id="rId375" Type="http://schemas.openxmlformats.org/officeDocument/2006/relationships/hyperlink" Target="https://drive.google.com/file/d/11NA2IBda9cKQZMI5NtRWas2pZNcsZtm7/view?usp=sharing" TargetMode="External"/><Relationship Id="rId3" Type="http://schemas.openxmlformats.org/officeDocument/2006/relationships/hyperlink" Target="https://drive.google.com/open?id=1L0B9fJAKKsQRi-2xkyDKZXZul3MxOtjB&amp;authuser=ehglegal%40gmail.com&amp;usp=drive_fs" TargetMode="External"/><Relationship Id="rId235" Type="http://schemas.openxmlformats.org/officeDocument/2006/relationships/hyperlink" Target="https://drive.google.com/file/d/1LKiacL0p5e_Mn83dfB46hx1FP62Rti68/view?usp=sharing" TargetMode="External"/><Relationship Id="rId277" Type="http://schemas.openxmlformats.org/officeDocument/2006/relationships/hyperlink" Target="https://drive.google.com/file/d/1PErcTlmc-dnKCpC85tKOWJr5jAC2D18a/view?usp=sharing" TargetMode="External"/><Relationship Id="rId400" Type="http://schemas.openxmlformats.org/officeDocument/2006/relationships/hyperlink" Target="https://drive.google.com/file/d/10aSbuYU8hHWPnPhUIzORz7KtIH_q7xjQ/view?usp=sharing" TargetMode="External"/><Relationship Id="rId442" Type="http://schemas.openxmlformats.org/officeDocument/2006/relationships/hyperlink" Target="https://drive.google.com/file/d/1O_IqJlbVOnyj4UqX6ye2zB0A-S5B5FzN/view?usp=sharing" TargetMode="External"/><Relationship Id="rId484" Type="http://schemas.openxmlformats.org/officeDocument/2006/relationships/hyperlink" Target="https://drive.google.com/file/d/1CAyoEuS-mufVDlSrdcRU6ZGCR4vSlZ11/view?usp=sharing" TargetMode="External"/><Relationship Id="rId137" Type="http://schemas.openxmlformats.org/officeDocument/2006/relationships/hyperlink" Target="https://drive.google.com/file/d/1VLikkZ36A5z4E66Sh91ZgOryHF8vHZjT/view?usp=sharing" TargetMode="External"/><Relationship Id="rId302" Type="http://schemas.openxmlformats.org/officeDocument/2006/relationships/hyperlink" Target="https://drive.google.com/file/d/1GGTpWlbNT-3Q3_6NM0wqhZNcWAj2BaQr/view?usp=sharing" TargetMode="External"/><Relationship Id="rId344" Type="http://schemas.openxmlformats.org/officeDocument/2006/relationships/hyperlink" Target="https://drive.google.com/file/d/191yZZr7ONsUZvqpzPeHRebyH1Pg878PF/view?usp=sharing" TargetMode="External"/><Relationship Id="rId41" Type="http://schemas.openxmlformats.org/officeDocument/2006/relationships/hyperlink" Target="https://drive.google.com/file/d/1LKGxGRAqwNZ7Pg7Cm0mYBMyz5PmrKeLY/view?usp=sharing" TargetMode="External"/><Relationship Id="rId83" Type="http://schemas.openxmlformats.org/officeDocument/2006/relationships/hyperlink" Target="https://drive.google.com/file/d/1BVXvppxQ9_vfJAF86QdlLGBmIa6D6aT5/view?usp=sharing" TargetMode="External"/><Relationship Id="rId179" Type="http://schemas.openxmlformats.org/officeDocument/2006/relationships/hyperlink" Target="https://drive.google.com/file/d/198WWKFSP6Sz2GmacOdKJhdpzSqKRUIIj/view?usp=sharing" TargetMode="External"/><Relationship Id="rId386" Type="http://schemas.openxmlformats.org/officeDocument/2006/relationships/hyperlink" Target="https://drive.google.com/file/d/13X_ryYGfzlG5zjpPvCbk-zv-Ep3r2CPR/view?usp=sharing" TargetMode="External"/><Relationship Id="rId190" Type="http://schemas.openxmlformats.org/officeDocument/2006/relationships/hyperlink" Target="https://drive.google.com/file/d/1VYxKIIgSixjHWkUF3IgzFPR5jBqc4Box/view?usp=sharing" TargetMode="External"/><Relationship Id="rId204" Type="http://schemas.openxmlformats.org/officeDocument/2006/relationships/hyperlink" Target="https://drive.google.com/file/d/1ScZAALEG2WodaaW-gZhPtKuCbxPXzDEg/view?usp=sharing" TargetMode="External"/><Relationship Id="rId246" Type="http://schemas.openxmlformats.org/officeDocument/2006/relationships/hyperlink" Target="https://drive.google.com/file/d/1Ghb03nvah60jqCToWiMv4P9Qcu-QPlhx/view?usp=sharing" TargetMode="External"/><Relationship Id="rId288" Type="http://schemas.openxmlformats.org/officeDocument/2006/relationships/hyperlink" Target="https://drive.google.com/file/d/1RfA5qU6G-PSQAzHL0s8PjjTyKLRI4Hku/view?usp=sharing" TargetMode="External"/><Relationship Id="rId411" Type="http://schemas.openxmlformats.org/officeDocument/2006/relationships/hyperlink" Target="https://drive.google.com/file/d/18D56wHYxgQfMW0_jGxgNrcfuDxNXGiYM/view?usp=sharing" TargetMode="External"/><Relationship Id="rId453" Type="http://schemas.openxmlformats.org/officeDocument/2006/relationships/hyperlink" Target="https://drive.google.com/file/d/1-e4NREeplVF-WbE2VBmaRB9VW9NwUeQ1/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6"/>
  <sheetViews>
    <sheetView tabSelected="1" zoomScale="55" zoomScaleNormal="55" workbookViewId="0">
      <pane xSplit="3" ySplit="2" topLeftCell="D383" activePane="bottomRight" state="frozen"/>
      <selection pane="topRight" activeCell="D1" sqref="D1"/>
      <selection pane="bottomLeft" activeCell="A3" sqref="A3"/>
      <selection pane="bottomRight" activeCell="L393" sqref="L393"/>
    </sheetView>
  </sheetViews>
  <sheetFormatPr defaultColWidth="11.44140625" defaultRowHeight="18" x14ac:dyDescent="0.35"/>
  <cols>
    <col min="1" max="1" width="6.5546875" style="58" customWidth="1"/>
    <col min="2" max="2" width="25.77734375" style="170" customWidth="1"/>
    <col min="3" max="3" width="72" style="55" customWidth="1"/>
    <col min="4" max="4" width="24.88671875" style="53" customWidth="1"/>
    <col min="5" max="5" width="28.88671875" style="173" customWidth="1"/>
    <col min="6" max="6" width="21.33203125" style="3" customWidth="1"/>
    <col min="7" max="7" width="24.6640625" style="3" customWidth="1"/>
    <col min="8" max="8" width="53" style="2" customWidth="1"/>
    <col min="9" max="9" width="30.88671875" style="4" customWidth="1"/>
    <col min="10" max="10" width="19.5546875" style="1" customWidth="1"/>
    <col min="11" max="11" width="17" style="1" customWidth="1"/>
    <col min="12" max="12" width="19.109375" style="1" customWidth="1"/>
    <col min="13" max="13" width="18.109375" style="2" customWidth="1"/>
    <col min="14" max="14" width="48.77734375" style="107" customWidth="1"/>
    <col min="15" max="15" width="54.109375" style="165" customWidth="1"/>
    <col min="16" max="16" width="65.109375" style="4" customWidth="1"/>
    <col min="17" max="16384" width="11.44140625" style="3"/>
  </cols>
  <sheetData>
    <row r="1" spans="1:16" ht="36.6" customHeight="1" x14ac:dyDescent="0.3">
      <c r="A1" s="176" t="s">
        <v>0</v>
      </c>
      <c r="B1" s="176"/>
      <c r="C1" s="176"/>
      <c r="D1" s="176"/>
      <c r="E1" s="176"/>
      <c r="F1" s="176"/>
      <c r="G1" s="176"/>
      <c r="H1" s="176"/>
      <c r="I1" s="176"/>
      <c r="J1" s="176"/>
      <c r="K1" s="176"/>
      <c r="L1" s="176"/>
      <c r="M1" s="176"/>
      <c r="N1" s="176"/>
      <c r="O1" s="176"/>
      <c r="P1" s="177"/>
    </row>
    <row r="2" spans="1:16" s="1" customFormat="1" ht="27.6" x14ac:dyDescent="0.3">
      <c r="A2" s="60" t="s">
        <v>1</v>
      </c>
      <c r="B2" s="61" t="s">
        <v>2</v>
      </c>
      <c r="C2" s="61" t="s">
        <v>3</v>
      </c>
      <c r="D2" s="174" t="s">
        <v>4</v>
      </c>
      <c r="E2" s="61" t="s">
        <v>5</v>
      </c>
      <c r="F2" s="61" t="s">
        <v>6</v>
      </c>
      <c r="G2" s="61" t="s">
        <v>7</v>
      </c>
      <c r="H2" s="61" t="s">
        <v>8</v>
      </c>
      <c r="I2" s="61" t="s">
        <v>9</v>
      </c>
      <c r="J2" s="61" t="s">
        <v>10</v>
      </c>
      <c r="K2" s="61" t="s">
        <v>11</v>
      </c>
      <c r="L2" s="61" t="s">
        <v>12</v>
      </c>
      <c r="M2" s="61" t="s">
        <v>13</v>
      </c>
      <c r="N2" s="61" t="s">
        <v>14</v>
      </c>
      <c r="O2" s="61" t="s">
        <v>15</v>
      </c>
      <c r="P2" s="61" t="s">
        <v>16</v>
      </c>
    </row>
    <row r="3" spans="1:16" s="1" customFormat="1" x14ac:dyDescent="0.3">
      <c r="A3" s="116">
        <v>1</v>
      </c>
      <c r="B3" s="152" t="s">
        <v>17</v>
      </c>
      <c r="C3" s="117" t="s">
        <v>18</v>
      </c>
      <c r="D3" s="151" t="s">
        <v>19</v>
      </c>
      <c r="E3" s="132" t="s">
        <v>17</v>
      </c>
      <c r="F3" s="118" t="s">
        <v>20</v>
      </c>
      <c r="G3" s="118" t="s">
        <v>21</v>
      </c>
      <c r="H3" s="118" t="s">
        <v>22</v>
      </c>
      <c r="I3" s="118" t="s">
        <v>23</v>
      </c>
      <c r="J3" s="119" t="s">
        <v>23</v>
      </c>
      <c r="K3" s="118" t="s">
        <v>23</v>
      </c>
      <c r="L3" s="119" t="s">
        <v>24</v>
      </c>
      <c r="M3" s="118" t="s">
        <v>25</v>
      </c>
      <c r="N3" s="120" t="s">
        <v>26</v>
      </c>
      <c r="O3" s="158" t="s">
        <v>23</v>
      </c>
      <c r="P3" s="168"/>
    </row>
    <row r="4" spans="1:16" s="1" customFormat="1" ht="55.2" x14ac:dyDescent="0.3">
      <c r="A4" s="116">
        <v>2</v>
      </c>
      <c r="B4" s="152" t="s">
        <v>27</v>
      </c>
      <c r="C4" s="121" t="s">
        <v>28</v>
      </c>
      <c r="D4" s="151" t="s">
        <v>29</v>
      </c>
      <c r="E4" s="132" t="s">
        <v>27</v>
      </c>
      <c r="F4" s="118" t="s">
        <v>30</v>
      </c>
      <c r="G4" s="118" t="s">
        <v>21</v>
      </c>
      <c r="H4" s="118" t="s">
        <v>31</v>
      </c>
      <c r="I4" s="119" t="s">
        <v>23</v>
      </c>
      <c r="J4" s="119" t="s">
        <v>23</v>
      </c>
      <c r="K4" s="119" t="s">
        <v>23</v>
      </c>
      <c r="L4" s="119" t="s">
        <v>24</v>
      </c>
      <c r="M4" s="119" t="s">
        <v>25</v>
      </c>
      <c r="N4" s="120" t="s">
        <v>32</v>
      </c>
      <c r="O4" s="158" t="s">
        <v>23</v>
      </c>
      <c r="P4" s="168"/>
    </row>
    <row r="5" spans="1:16" s="1" customFormat="1" ht="69" x14ac:dyDescent="0.3">
      <c r="A5" s="189">
        <v>3</v>
      </c>
      <c r="B5" s="152" t="s">
        <v>33</v>
      </c>
      <c r="C5" s="121" t="s">
        <v>34</v>
      </c>
      <c r="D5" s="151" t="s">
        <v>35</v>
      </c>
      <c r="E5" s="132" t="s">
        <v>36</v>
      </c>
      <c r="F5" s="118" t="s">
        <v>20</v>
      </c>
      <c r="G5" s="118" t="s">
        <v>21</v>
      </c>
      <c r="H5" s="118" t="s">
        <v>37</v>
      </c>
      <c r="I5" s="118" t="s">
        <v>23</v>
      </c>
      <c r="J5" s="123" t="s">
        <v>23</v>
      </c>
      <c r="K5" s="119" t="s">
        <v>23</v>
      </c>
      <c r="L5" s="118" t="s">
        <v>38</v>
      </c>
      <c r="M5" s="118" t="s">
        <v>39</v>
      </c>
      <c r="N5" s="120" t="s">
        <v>40</v>
      </c>
      <c r="O5" s="158" t="s">
        <v>23</v>
      </c>
      <c r="P5" s="168"/>
    </row>
    <row r="6" spans="1:16" s="1" customFormat="1" ht="27.6" x14ac:dyDescent="0.3">
      <c r="A6" s="188">
        <v>4</v>
      </c>
      <c r="B6" s="152" t="s">
        <v>41</v>
      </c>
      <c r="C6" s="121" t="s">
        <v>42</v>
      </c>
      <c r="D6" s="151" t="s">
        <v>43</v>
      </c>
      <c r="E6" s="132" t="s">
        <v>41</v>
      </c>
      <c r="F6" s="118" t="s">
        <v>44</v>
      </c>
      <c r="G6" s="118" t="s">
        <v>21</v>
      </c>
      <c r="H6" s="118" t="s">
        <v>45</v>
      </c>
      <c r="I6" s="118" t="s">
        <v>46</v>
      </c>
      <c r="J6" s="118">
        <v>1983</v>
      </c>
      <c r="K6" s="118">
        <v>1983</v>
      </c>
      <c r="L6" s="118" t="s">
        <v>47</v>
      </c>
      <c r="M6" s="118" t="s">
        <v>39</v>
      </c>
      <c r="N6" s="124" t="s">
        <v>48</v>
      </c>
      <c r="O6" s="158" t="s">
        <v>23</v>
      </c>
      <c r="P6" s="168"/>
    </row>
    <row r="7" spans="1:16" s="1" customFormat="1" ht="27.6" x14ac:dyDescent="0.3">
      <c r="A7" s="189">
        <v>5</v>
      </c>
      <c r="B7" s="152" t="s">
        <v>49</v>
      </c>
      <c r="C7" s="121" t="s">
        <v>50</v>
      </c>
      <c r="D7" s="151" t="s">
        <v>51</v>
      </c>
      <c r="E7" s="132" t="s">
        <v>49</v>
      </c>
      <c r="F7" s="118" t="s">
        <v>20</v>
      </c>
      <c r="G7" s="118" t="s">
        <v>21</v>
      </c>
      <c r="H7" s="118" t="s">
        <v>52</v>
      </c>
      <c r="I7" s="118" t="s">
        <v>23</v>
      </c>
      <c r="J7" s="123" t="s">
        <v>53</v>
      </c>
      <c r="K7" s="118">
        <v>1994</v>
      </c>
      <c r="L7" s="118" t="s">
        <v>54</v>
      </c>
      <c r="M7" s="118" t="s">
        <v>39</v>
      </c>
      <c r="N7" s="118"/>
      <c r="O7" s="158" t="s">
        <v>23</v>
      </c>
      <c r="P7" s="168"/>
    </row>
    <row r="8" spans="1:16" s="1" customFormat="1" ht="36" x14ac:dyDescent="0.3">
      <c r="A8" s="188">
        <v>6</v>
      </c>
      <c r="B8" s="152" t="s">
        <v>55</v>
      </c>
      <c r="C8" s="121" t="s">
        <v>56</v>
      </c>
      <c r="D8" s="151" t="s">
        <v>57</v>
      </c>
      <c r="E8" s="132" t="s">
        <v>55</v>
      </c>
      <c r="F8" s="118" t="s">
        <v>20</v>
      </c>
      <c r="G8" s="118" t="s">
        <v>58</v>
      </c>
      <c r="H8" s="118" t="s">
        <v>59</v>
      </c>
      <c r="I8" s="118" t="s">
        <v>23</v>
      </c>
      <c r="J8" s="125" t="s">
        <v>60</v>
      </c>
      <c r="K8" s="118">
        <v>1997</v>
      </c>
      <c r="L8" s="118" t="s">
        <v>61</v>
      </c>
      <c r="M8" s="118" t="s">
        <v>39</v>
      </c>
      <c r="N8" s="124" t="s">
        <v>62</v>
      </c>
      <c r="O8" s="158" t="s">
        <v>23</v>
      </c>
      <c r="P8" s="168"/>
    </row>
    <row r="9" spans="1:16" s="1" customFormat="1" ht="55.2" x14ac:dyDescent="0.3">
      <c r="A9" s="188">
        <v>7</v>
      </c>
      <c r="B9" s="152" t="s">
        <v>63</v>
      </c>
      <c r="C9" s="121" t="s">
        <v>64</v>
      </c>
      <c r="D9" s="151" t="s">
        <v>65</v>
      </c>
      <c r="E9" s="132" t="s">
        <v>63</v>
      </c>
      <c r="F9" s="118" t="s">
        <v>20</v>
      </c>
      <c r="G9" s="118" t="s">
        <v>21</v>
      </c>
      <c r="H9" s="118" t="s">
        <v>66</v>
      </c>
      <c r="I9" s="118" t="s">
        <v>67</v>
      </c>
      <c r="J9" s="123" t="s">
        <v>68</v>
      </c>
      <c r="K9" s="118">
        <v>1998</v>
      </c>
      <c r="L9" s="118" t="s">
        <v>69</v>
      </c>
      <c r="M9" s="118" t="s">
        <v>39</v>
      </c>
      <c r="N9" s="124" t="s">
        <v>70</v>
      </c>
      <c r="O9" s="158" t="s">
        <v>23</v>
      </c>
      <c r="P9" s="168"/>
    </row>
    <row r="10" spans="1:16" s="1" customFormat="1" ht="27.6" x14ac:dyDescent="0.3">
      <c r="A10" s="189">
        <v>8</v>
      </c>
      <c r="B10" s="152" t="s">
        <v>71</v>
      </c>
      <c r="C10" s="121" t="s">
        <v>72</v>
      </c>
      <c r="D10" s="151" t="s">
        <v>73</v>
      </c>
      <c r="E10" s="132" t="s">
        <v>71</v>
      </c>
      <c r="F10" s="118" t="s">
        <v>20</v>
      </c>
      <c r="G10" s="118" t="s">
        <v>21</v>
      </c>
      <c r="H10" s="118" t="s">
        <v>74</v>
      </c>
      <c r="I10" s="118" t="s">
        <v>23</v>
      </c>
      <c r="J10" s="126" t="s">
        <v>75</v>
      </c>
      <c r="K10" s="118">
        <v>1999</v>
      </c>
      <c r="L10" s="118" t="s">
        <v>54</v>
      </c>
      <c r="M10" s="118" t="s">
        <v>39</v>
      </c>
      <c r="N10" s="118"/>
      <c r="O10" s="158" t="s">
        <v>23</v>
      </c>
      <c r="P10" s="168"/>
    </row>
    <row r="11" spans="1:16" s="1" customFormat="1" ht="41.4" x14ac:dyDescent="0.3">
      <c r="A11" s="189">
        <v>9</v>
      </c>
      <c r="B11" s="152" t="s">
        <v>76</v>
      </c>
      <c r="C11" s="121" t="s">
        <v>77</v>
      </c>
      <c r="D11" s="151" t="s">
        <v>73</v>
      </c>
      <c r="E11" s="132" t="s">
        <v>76</v>
      </c>
      <c r="F11" s="118" t="s">
        <v>44</v>
      </c>
      <c r="G11" s="118" t="s">
        <v>21</v>
      </c>
      <c r="H11" s="118" t="s">
        <v>78</v>
      </c>
      <c r="I11" s="118" t="s">
        <v>23</v>
      </c>
      <c r="J11" s="118" t="s">
        <v>75</v>
      </c>
      <c r="K11" s="118">
        <v>1999</v>
      </c>
      <c r="L11" s="118" t="s">
        <v>54</v>
      </c>
      <c r="M11" s="118" t="s">
        <v>39</v>
      </c>
      <c r="N11" s="118"/>
      <c r="O11" s="158" t="s">
        <v>23</v>
      </c>
      <c r="P11" s="168"/>
    </row>
    <row r="12" spans="1:16" s="1" customFormat="1" ht="55.2" x14ac:dyDescent="0.3">
      <c r="A12" s="189">
        <v>10</v>
      </c>
      <c r="B12" s="152" t="s">
        <v>79</v>
      </c>
      <c r="C12" s="121" t="s">
        <v>80</v>
      </c>
      <c r="D12" s="151" t="s">
        <v>43</v>
      </c>
      <c r="E12" s="132" t="s">
        <v>79</v>
      </c>
      <c r="F12" s="118" t="s">
        <v>20</v>
      </c>
      <c r="G12" s="118" t="s">
        <v>21</v>
      </c>
      <c r="H12" s="118" t="s">
        <v>81</v>
      </c>
      <c r="I12" s="118" t="s">
        <v>82</v>
      </c>
      <c r="J12" s="118" t="s">
        <v>83</v>
      </c>
      <c r="K12" s="118">
        <v>1999</v>
      </c>
      <c r="L12" s="118" t="s">
        <v>54</v>
      </c>
      <c r="M12" s="118" t="s">
        <v>39</v>
      </c>
      <c r="N12" s="118"/>
      <c r="O12" s="158" t="s">
        <v>23</v>
      </c>
      <c r="P12" s="168"/>
    </row>
    <row r="13" spans="1:16" s="1" customFormat="1" ht="96.6" x14ac:dyDescent="0.3">
      <c r="A13" s="167">
        <v>11</v>
      </c>
      <c r="B13" s="152" t="s">
        <v>84</v>
      </c>
      <c r="C13" s="121" t="s">
        <v>85</v>
      </c>
      <c r="D13" s="151" t="s">
        <v>86</v>
      </c>
      <c r="E13" s="132" t="s">
        <v>84</v>
      </c>
      <c r="F13" s="118" t="s">
        <v>44</v>
      </c>
      <c r="G13" s="118" t="s">
        <v>87</v>
      </c>
      <c r="H13" s="118" t="s">
        <v>88</v>
      </c>
      <c r="I13" s="118" t="s">
        <v>23</v>
      </c>
      <c r="J13" s="123" t="s">
        <v>89</v>
      </c>
      <c r="K13" s="118">
        <v>1999</v>
      </c>
      <c r="L13" s="118" t="s">
        <v>90</v>
      </c>
      <c r="M13" s="118" t="s">
        <v>39</v>
      </c>
      <c r="N13" s="124" t="s">
        <v>91</v>
      </c>
      <c r="O13" s="158" t="s">
        <v>23</v>
      </c>
      <c r="P13" s="168"/>
    </row>
    <row r="14" spans="1:16" s="1" customFormat="1" ht="27.6" x14ac:dyDescent="0.3">
      <c r="A14" s="189">
        <v>12</v>
      </c>
      <c r="B14" s="152" t="s">
        <v>92</v>
      </c>
      <c r="C14" s="121" t="s">
        <v>93</v>
      </c>
      <c r="D14" s="151" t="s">
        <v>94</v>
      </c>
      <c r="E14" s="132" t="s">
        <v>92</v>
      </c>
      <c r="F14" s="118" t="s">
        <v>44</v>
      </c>
      <c r="G14" s="118" t="s">
        <v>21</v>
      </c>
      <c r="H14" s="118" t="s">
        <v>95</v>
      </c>
      <c r="I14" s="118" t="s">
        <v>23</v>
      </c>
      <c r="J14" s="118" t="s">
        <v>96</v>
      </c>
      <c r="K14" s="118">
        <v>2000</v>
      </c>
      <c r="L14" s="118" t="s">
        <v>54</v>
      </c>
      <c r="M14" s="118" t="s">
        <v>39</v>
      </c>
      <c r="N14" s="118"/>
      <c r="O14" s="158" t="s">
        <v>23</v>
      </c>
      <c r="P14" s="168"/>
    </row>
    <row r="15" spans="1:16" s="1" customFormat="1" ht="27.6" x14ac:dyDescent="0.3">
      <c r="A15" s="189">
        <v>13</v>
      </c>
      <c r="B15" s="152" t="s">
        <v>97</v>
      </c>
      <c r="C15" s="121" t="s">
        <v>98</v>
      </c>
      <c r="D15" s="151" t="s">
        <v>99</v>
      </c>
      <c r="E15" s="132" t="s">
        <v>97</v>
      </c>
      <c r="F15" s="118" t="s">
        <v>44</v>
      </c>
      <c r="G15" s="118" t="s">
        <v>21</v>
      </c>
      <c r="H15" s="118" t="s">
        <v>100</v>
      </c>
      <c r="I15" s="118" t="s">
        <v>23</v>
      </c>
      <c r="J15" s="118" t="s">
        <v>101</v>
      </c>
      <c r="K15" s="118">
        <v>2000</v>
      </c>
      <c r="L15" s="118" t="s">
        <v>38</v>
      </c>
      <c r="M15" s="118" t="s">
        <v>39</v>
      </c>
      <c r="N15" s="118"/>
      <c r="O15" s="158" t="s">
        <v>23</v>
      </c>
      <c r="P15" s="168"/>
    </row>
    <row r="16" spans="1:16" s="1" customFormat="1" ht="21" x14ac:dyDescent="0.3">
      <c r="A16" s="189">
        <v>14</v>
      </c>
      <c r="B16" s="152" t="s">
        <v>102</v>
      </c>
      <c r="C16" s="121" t="s">
        <v>103</v>
      </c>
      <c r="D16" s="151" t="s">
        <v>43</v>
      </c>
      <c r="E16" s="132" t="s">
        <v>102</v>
      </c>
      <c r="F16" s="118" t="s">
        <v>20</v>
      </c>
      <c r="G16" s="118" t="s">
        <v>21</v>
      </c>
      <c r="H16" s="118" t="s">
        <v>104</v>
      </c>
      <c r="I16" s="118" t="s">
        <v>105</v>
      </c>
      <c r="J16" s="118" t="s">
        <v>106</v>
      </c>
      <c r="K16" s="118">
        <v>2000</v>
      </c>
      <c r="L16" s="119" t="s">
        <v>24</v>
      </c>
      <c r="M16" s="118" t="s">
        <v>25</v>
      </c>
      <c r="N16" s="118"/>
      <c r="O16" s="158" t="s">
        <v>107</v>
      </c>
      <c r="P16" s="168"/>
    </row>
    <row r="17" spans="1:16" s="59" customFormat="1" ht="36" x14ac:dyDescent="0.3">
      <c r="A17" s="189">
        <v>15</v>
      </c>
      <c r="B17" s="152" t="s">
        <v>108</v>
      </c>
      <c r="C17" s="121" t="s">
        <v>109</v>
      </c>
      <c r="D17" s="151" t="s">
        <v>65</v>
      </c>
      <c r="E17" s="132" t="s">
        <v>108</v>
      </c>
      <c r="F17" s="118" t="s">
        <v>20</v>
      </c>
      <c r="G17" s="118" t="s">
        <v>65</v>
      </c>
      <c r="H17" s="118" t="s">
        <v>110</v>
      </c>
      <c r="I17" s="118" t="s">
        <v>23</v>
      </c>
      <c r="J17" s="123" t="s">
        <v>111</v>
      </c>
      <c r="K17" s="118">
        <v>2000</v>
      </c>
      <c r="L17" s="119" t="s">
        <v>24</v>
      </c>
      <c r="M17" s="118" t="s">
        <v>25</v>
      </c>
      <c r="N17" s="118"/>
      <c r="O17" s="158" t="s">
        <v>23</v>
      </c>
      <c r="P17" s="168"/>
    </row>
    <row r="18" spans="1:16" s="1" customFormat="1" ht="41.4" x14ac:dyDescent="0.3">
      <c r="A18" s="189">
        <v>16</v>
      </c>
      <c r="B18" s="152" t="s">
        <v>112</v>
      </c>
      <c r="C18" s="121" t="s">
        <v>113</v>
      </c>
      <c r="D18" s="151" t="s">
        <v>99</v>
      </c>
      <c r="E18" s="132" t="s">
        <v>112</v>
      </c>
      <c r="F18" s="118" t="s">
        <v>20</v>
      </c>
      <c r="G18" s="118" t="s">
        <v>21</v>
      </c>
      <c r="H18" s="118" t="s">
        <v>114</v>
      </c>
      <c r="I18" s="118" t="s">
        <v>67</v>
      </c>
      <c r="J18" s="118" t="s">
        <v>115</v>
      </c>
      <c r="K18" s="118">
        <v>2001</v>
      </c>
      <c r="L18" s="118" t="s">
        <v>116</v>
      </c>
      <c r="M18" s="118" t="s">
        <v>25</v>
      </c>
      <c r="N18" s="118"/>
      <c r="O18" s="158" t="s">
        <v>23</v>
      </c>
      <c r="P18" s="168"/>
    </row>
    <row r="19" spans="1:16" s="1" customFormat="1" ht="27.6" x14ac:dyDescent="0.3">
      <c r="A19" s="189">
        <v>17</v>
      </c>
      <c r="B19" s="152" t="s">
        <v>117</v>
      </c>
      <c r="C19" s="121" t="s">
        <v>118</v>
      </c>
      <c r="D19" s="151" t="s">
        <v>99</v>
      </c>
      <c r="E19" s="132" t="s">
        <v>117</v>
      </c>
      <c r="F19" s="118" t="s">
        <v>20</v>
      </c>
      <c r="G19" s="118" t="s">
        <v>21</v>
      </c>
      <c r="H19" s="118" t="s">
        <v>119</v>
      </c>
      <c r="I19" s="118" t="s">
        <v>23</v>
      </c>
      <c r="J19" s="118" t="s">
        <v>120</v>
      </c>
      <c r="K19" s="118">
        <v>2001</v>
      </c>
      <c r="L19" s="118" t="s">
        <v>69</v>
      </c>
      <c r="M19" s="118" t="s">
        <v>25</v>
      </c>
      <c r="N19" s="118"/>
      <c r="O19" s="158" t="s">
        <v>23</v>
      </c>
      <c r="P19" s="168"/>
    </row>
    <row r="20" spans="1:16" s="1" customFormat="1" ht="41.4" x14ac:dyDescent="0.3">
      <c r="A20" s="189">
        <v>18</v>
      </c>
      <c r="B20" s="152" t="s">
        <v>121</v>
      </c>
      <c r="C20" s="121" t="s">
        <v>122</v>
      </c>
      <c r="D20" s="151" t="s">
        <v>65</v>
      </c>
      <c r="E20" s="132" t="s">
        <v>121</v>
      </c>
      <c r="F20" s="118" t="s">
        <v>20</v>
      </c>
      <c r="G20" s="118" t="s">
        <v>65</v>
      </c>
      <c r="H20" s="118" t="s">
        <v>123</v>
      </c>
      <c r="I20" s="118" t="s">
        <v>124</v>
      </c>
      <c r="J20" s="123" t="s">
        <v>125</v>
      </c>
      <c r="K20" s="118">
        <v>2001</v>
      </c>
      <c r="L20" s="118" t="s">
        <v>126</v>
      </c>
      <c r="M20" s="118" t="s">
        <v>39</v>
      </c>
      <c r="N20" s="118"/>
      <c r="O20" s="158" t="s">
        <v>23</v>
      </c>
      <c r="P20" s="168"/>
    </row>
    <row r="21" spans="1:16" s="1" customFormat="1" ht="21" x14ac:dyDescent="0.3">
      <c r="A21" s="189">
        <v>19</v>
      </c>
      <c r="B21" s="152" t="s">
        <v>127</v>
      </c>
      <c r="C21" s="121" t="s">
        <v>128</v>
      </c>
      <c r="D21" s="151" t="s">
        <v>129</v>
      </c>
      <c r="E21" s="132" t="s">
        <v>127</v>
      </c>
      <c r="F21" s="118" t="s">
        <v>20</v>
      </c>
      <c r="G21" s="118" t="s">
        <v>21</v>
      </c>
      <c r="H21" s="118" t="s">
        <v>130</v>
      </c>
      <c r="I21" s="118" t="s">
        <v>23</v>
      </c>
      <c r="J21" s="118" t="s">
        <v>131</v>
      </c>
      <c r="K21" s="118">
        <v>2002</v>
      </c>
      <c r="L21" s="119" t="s">
        <v>24</v>
      </c>
      <c r="M21" s="118" t="s">
        <v>25</v>
      </c>
      <c r="N21" s="118"/>
      <c r="O21" s="158" t="s">
        <v>23</v>
      </c>
      <c r="P21" s="168"/>
    </row>
    <row r="22" spans="1:16" s="59" customFormat="1" ht="27.6" x14ac:dyDescent="0.3">
      <c r="A22" s="189">
        <v>20</v>
      </c>
      <c r="B22" s="152" t="s">
        <v>132</v>
      </c>
      <c r="C22" s="121" t="s">
        <v>133</v>
      </c>
      <c r="D22" s="151" t="s">
        <v>129</v>
      </c>
      <c r="E22" s="132" t="s">
        <v>132</v>
      </c>
      <c r="F22" s="118" t="s">
        <v>20</v>
      </c>
      <c r="G22" s="118" t="s">
        <v>21</v>
      </c>
      <c r="H22" s="118" t="s">
        <v>134</v>
      </c>
      <c r="I22" s="118" t="s">
        <v>23</v>
      </c>
      <c r="J22" s="118" t="s">
        <v>135</v>
      </c>
      <c r="K22" s="118">
        <v>2002</v>
      </c>
      <c r="L22" s="118" t="s">
        <v>69</v>
      </c>
      <c r="M22" s="118" t="s">
        <v>25</v>
      </c>
      <c r="N22" s="118"/>
      <c r="O22" s="158" t="s">
        <v>23</v>
      </c>
      <c r="P22" s="168"/>
    </row>
    <row r="23" spans="1:16" s="1" customFormat="1" ht="27.6" x14ac:dyDescent="0.3">
      <c r="A23" s="189">
        <v>21</v>
      </c>
      <c r="B23" s="152" t="s">
        <v>136</v>
      </c>
      <c r="C23" s="121" t="s">
        <v>137</v>
      </c>
      <c r="D23" s="151" t="s">
        <v>129</v>
      </c>
      <c r="E23" s="132" t="s">
        <v>136</v>
      </c>
      <c r="F23" s="118" t="s">
        <v>20</v>
      </c>
      <c r="G23" s="118" t="s">
        <v>21</v>
      </c>
      <c r="H23" s="118" t="s">
        <v>138</v>
      </c>
      <c r="I23" s="118" t="s">
        <v>23</v>
      </c>
      <c r="J23" s="118" t="s">
        <v>139</v>
      </c>
      <c r="K23" s="118">
        <v>2002</v>
      </c>
      <c r="L23" s="118" t="s">
        <v>69</v>
      </c>
      <c r="M23" s="118" t="s">
        <v>25</v>
      </c>
      <c r="N23" s="118"/>
      <c r="O23" s="158" t="s">
        <v>23</v>
      </c>
      <c r="P23" s="168"/>
    </row>
    <row r="24" spans="1:16" s="1" customFormat="1" ht="21" x14ac:dyDescent="0.3">
      <c r="A24" s="189">
        <v>22</v>
      </c>
      <c r="B24" s="152" t="s">
        <v>140</v>
      </c>
      <c r="C24" s="121" t="s">
        <v>137</v>
      </c>
      <c r="D24" s="151" t="s">
        <v>129</v>
      </c>
      <c r="E24" s="132" t="s">
        <v>140</v>
      </c>
      <c r="F24" s="118" t="s">
        <v>44</v>
      </c>
      <c r="G24" s="118" t="s">
        <v>21</v>
      </c>
      <c r="H24" s="118" t="s">
        <v>141</v>
      </c>
      <c r="I24" s="118" t="s">
        <v>23</v>
      </c>
      <c r="J24" s="118" t="s">
        <v>139</v>
      </c>
      <c r="K24" s="118">
        <v>2002</v>
      </c>
      <c r="L24" s="118" t="s">
        <v>54</v>
      </c>
      <c r="M24" s="118" t="s">
        <v>39</v>
      </c>
      <c r="N24" s="118"/>
      <c r="O24" s="158" t="s">
        <v>23</v>
      </c>
      <c r="P24" s="168"/>
    </row>
    <row r="25" spans="1:16" s="1" customFormat="1" ht="36" x14ac:dyDescent="0.3">
      <c r="A25" s="122">
        <v>23</v>
      </c>
      <c r="B25" s="152" t="s">
        <v>142</v>
      </c>
      <c r="C25" s="121" t="s">
        <v>143</v>
      </c>
      <c r="D25" s="151" t="s">
        <v>129</v>
      </c>
      <c r="E25" s="132" t="s">
        <v>142</v>
      </c>
      <c r="F25" s="118" t="s">
        <v>20</v>
      </c>
      <c r="G25" s="118" t="s">
        <v>21</v>
      </c>
      <c r="H25" s="118" t="s">
        <v>144</v>
      </c>
      <c r="I25" s="118" t="s">
        <v>23</v>
      </c>
      <c r="J25" s="118" t="s">
        <v>145</v>
      </c>
      <c r="K25" s="118">
        <v>2002</v>
      </c>
      <c r="L25" s="118" t="s">
        <v>69</v>
      </c>
      <c r="M25" s="118" t="s">
        <v>25</v>
      </c>
      <c r="N25" s="118"/>
      <c r="O25" s="158" t="s">
        <v>23</v>
      </c>
      <c r="P25" s="168"/>
    </row>
    <row r="26" spans="1:16" s="1" customFormat="1" ht="21" x14ac:dyDescent="0.3">
      <c r="A26" s="189">
        <v>24</v>
      </c>
      <c r="B26" s="152" t="s">
        <v>146</v>
      </c>
      <c r="C26" s="121" t="s">
        <v>147</v>
      </c>
      <c r="D26" s="151" t="s">
        <v>129</v>
      </c>
      <c r="E26" s="132" t="s">
        <v>146</v>
      </c>
      <c r="F26" s="118" t="s">
        <v>20</v>
      </c>
      <c r="G26" s="118" t="s">
        <v>21</v>
      </c>
      <c r="H26" s="118" t="s">
        <v>148</v>
      </c>
      <c r="I26" s="118" t="s">
        <v>23</v>
      </c>
      <c r="J26" s="118" t="s">
        <v>149</v>
      </c>
      <c r="K26" s="118">
        <v>2002</v>
      </c>
      <c r="L26" s="118" t="s">
        <v>24</v>
      </c>
      <c r="M26" s="118" t="s">
        <v>25</v>
      </c>
      <c r="N26" s="118"/>
      <c r="O26" s="158" t="s">
        <v>23</v>
      </c>
      <c r="P26" s="168"/>
    </row>
    <row r="27" spans="1:16" s="1" customFormat="1" ht="27.6" x14ac:dyDescent="0.3">
      <c r="A27" s="189">
        <v>25</v>
      </c>
      <c r="B27" s="152" t="s">
        <v>150</v>
      </c>
      <c r="C27" s="121" t="s">
        <v>151</v>
      </c>
      <c r="D27" s="151" t="s">
        <v>129</v>
      </c>
      <c r="E27" s="132" t="s">
        <v>150</v>
      </c>
      <c r="F27" s="118" t="s">
        <v>20</v>
      </c>
      <c r="G27" s="118" t="s">
        <v>21</v>
      </c>
      <c r="H27" s="118" t="s">
        <v>152</v>
      </c>
      <c r="I27" s="118" t="s">
        <v>23</v>
      </c>
      <c r="J27" s="118" t="s">
        <v>153</v>
      </c>
      <c r="K27" s="118">
        <v>2002</v>
      </c>
      <c r="L27" s="118" t="s">
        <v>69</v>
      </c>
      <c r="M27" s="118" t="s">
        <v>25</v>
      </c>
      <c r="N27" s="118"/>
      <c r="O27" s="158" t="s">
        <v>23</v>
      </c>
      <c r="P27" s="168"/>
    </row>
    <row r="28" spans="1:16" s="1" customFormat="1" ht="41.4" x14ac:dyDescent="0.3">
      <c r="A28" s="122">
        <v>26</v>
      </c>
      <c r="B28" s="152" t="s">
        <v>154</v>
      </c>
      <c r="C28" s="121" t="s">
        <v>155</v>
      </c>
      <c r="D28" s="151" t="s">
        <v>43</v>
      </c>
      <c r="E28" s="132" t="s">
        <v>154</v>
      </c>
      <c r="F28" s="118" t="s">
        <v>20</v>
      </c>
      <c r="G28" s="118" t="s">
        <v>21</v>
      </c>
      <c r="H28" s="118" t="s">
        <v>156</v>
      </c>
      <c r="I28" s="118" t="s">
        <v>157</v>
      </c>
      <c r="J28" s="118" t="s">
        <v>158</v>
      </c>
      <c r="K28" s="118">
        <v>2002</v>
      </c>
      <c r="L28" s="118" t="s">
        <v>159</v>
      </c>
      <c r="M28" s="118" t="s">
        <v>39</v>
      </c>
      <c r="N28" s="118"/>
      <c r="O28" s="158" t="s">
        <v>160</v>
      </c>
      <c r="P28" s="168"/>
    </row>
    <row r="29" spans="1:16" s="1" customFormat="1" ht="36" x14ac:dyDescent="0.3">
      <c r="A29" s="188">
        <v>27</v>
      </c>
      <c r="B29" s="152" t="s">
        <v>161</v>
      </c>
      <c r="C29" s="121" t="s">
        <v>162</v>
      </c>
      <c r="D29" s="151" t="s">
        <v>65</v>
      </c>
      <c r="E29" s="132" t="s">
        <v>161</v>
      </c>
      <c r="F29" s="118" t="s">
        <v>163</v>
      </c>
      <c r="G29" s="118" t="s">
        <v>65</v>
      </c>
      <c r="H29" s="118" t="s">
        <v>164</v>
      </c>
      <c r="I29" s="118" t="s">
        <v>165</v>
      </c>
      <c r="J29" s="123" t="s">
        <v>166</v>
      </c>
      <c r="K29" s="118">
        <v>2003</v>
      </c>
      <c r="L29" s="118" t="s">
        <v>167</v>
      </c>
      <c r="M29" s="118" t="s">
        <v>39</v>
      </c>
      <c r="N29" s="124" t="s">
        <v>168</v>
      </c>
      <c r="O29" s="158" t="s">
        <v>23</v>
      </c>
      <c r="P29" s="168"/>
    </row>
    <row r="30" spans="1:16" s="1" customFormat="1" ht="41.4" x14ac:dyDescent="0.3">
      <c r="A30" s="194">
        <v>28</v>
      </c>
      <c r="B30" s="152" t="s">
        <v>169</v>
      </c>
      <c r="C30" s="121" t="s">
        <v>170</v>
      </c>
      <c r="D30" s="151" t="s">
        <v>99</v>
      </c>
      <c r="E30" s="132" t="s">
        <v>169</v>
      </c>
      <c r="F30" s="118" t="s">
        <v>20</v>
      </c>
      <c r="G30" s="118" t="s">
        <v>171</v>
      </c>
      <c r="H30" s="118" t="s">
        <v>172</v>
      </c>
      <c r="I30" s="118" t="s">
        <v>46</v>
      </c>
      <c r="J30" s="123">
        <v>37775</v>
      </c>
      <c r="K30" s="118">
        <v>2003</v>
      </c>
      <c r="L30" s="118" t="s">
        <v>173</v>
      </c>
      <c r="M30" s="118" t="s">
        <v>39</v>
      </c>
      <c r="N30" s="127" t="s">
        <v>174</v>
      </c>
      <c r="O30" s="158" t="s">
        <v>23</v>
      </c>
      <c r="P30" s="168"/>
    </row>
    <row r="31" spans="1:16" s="1" customFormat="1" ht="41.4" x14ac:dyDescent="0.3">
      <c r="A31" s="116">
        <v>29</v>
      </c>
      <c r="B31" s="152" t="s">
        <v>175</v>
      </c>
      <c r="C31" s="121" t="s">
        <v>176</v>
      </c>
      <c r="D31" s="151" t="s">
        <v>35</v>
      </c>
      <c r="E31" s="132" t="s">
        <v>175</v>
      </c>
      <c r="F31" s="118" t="s">
        <v>20</v>
      </c>
      <c r="G31" s="118" t="s">
        <v>21</v>
      </c>
      <c r="H31" s="118" t="s">
        <v>177</v>
      </c>
      <c r="I31" s="118" t="s">
        <v>23</v>
      </c>
      <c r="J31" s="118" t="s">
        <v>178</v>
      </c>
      <c r="K31" s="118">
        <v>2004</v>
      </c>
      <c r="L31" s="118" t="s">
        <v>69</v>
      </c>
      <c r="M31" s="118" t="s">
        <v>25</v>
      </c>
      <c r="N31" s="118"/>
      <c r="O31" s="158" t="s">
        <v>23</v>
      </c>
      <c r="P31" s="168"/>
    </row>
    <row r="32" spans="1:16" s="1" customFormat="1" ht="27.6" x14ac:dyDescent="0.3">
      <c r="A32" s="188">
        <v>30</v>
      </c>
      <c r="B32" s="152" t="s">
        <v>179</v>
      </c>
      <c r="C32" s="121" t="s">
        <v>180</v>
      </c>
      <c r="D32" s="151" t="s">
        <v>181</v>
      </c>
      <c r="E32" s="132" t="s">
        <v>179</v>
      </c>
      <c r="F32" s="118" t="s">
        <v>20</v>
      </c>
      <c r="G32" s="118" t="s">
        <v>21</v>
      </c>
      <c r="H32" s="118" t="s">
        <v>182</v>
      </c>
      <c r="I32" s="118" t="s">
        <v>183</v>
      </c>
      <c r="J32" s="118" t="s">
        <v>184</v>
      </c>
      <c r="K32" s="118">
        <v>2004</v>
      </c>
      <c r="L32" s="119" t="s">
        <v>24</v>
      </c>
      <c r="M32" s="118" t="s">
        <v>39</v>
      </c>
      <c r="N32" s="124" t="s">
        <v>185</v>
      </c>
      <c r="O32" s="158" t="s">
        <v>23</v>
      </c>
      <c r="P32" s="168"/>
    </row>
    <row r="33" spans="1:16" s="1" customFormat="1" ht="27.6" x14ac:dyDescent="0.3">
      <c r="A33" s="189">
        <v>31</v>
      </c>
      <c r="B33" s="152" t="s">
        <v>186</v>
      </c>
      <c r="C33" s="121" t="s">
        <v>187</v>
      </c>
      <c r="D33" s="151" t="s">
        <v>73</v>
      </c>
      <c r="E33" s="132" t="s">
        <v>186</v>
      </c>
      <c r="F33" s="118" t="s">
        <v>20</v>
      </c>
      <c r="G33" s="118" t="s">
        <v>21</v>
      </c>
      <c r="H33" s="118" t="s">
        <v>188</v>
      </c>
      <c r="I33" s="118" t="s">
        <v>23</v>
      </c>
      <c r="J33" s="118" t="s">
        <v>189</v>
      </c>
      <c r="K33" s="118">
        <v>2004</v>
      </c>
      <c r="L33" s="118" t="s">
        <v>38</v>
      </c>
      <c r="M33" s="118" t="s">
        <v>39</v>
      </c>
      <c r="N33" s="118"/>
      <c r="O33" s="158" t="s">
        <v>23</v>
      </c>
      <c r="P33" s="168"/>
    </row>
    <row r="34" spans="1:16" s="1" customFormat="1" ht="41.4" x14ac:dyDescent="0.3">
      <c r="A34" s="116">
        <v>32</v>
      </c>
      <c r="B34" s="152" t="s">
        <v>190</v>
      </c>
      <c r="C34" s="121" t="s">
        <v>98</v>
      </c>
      <c r="D34" s="151" t="s">
        <v>99</v>
      </c>
      <c r="E34" s="132" t="s">
        <v>190</v>
      </c>
      <c r="F34" s="118" t="s">
        <v>20</v>
      </c>
      <c r="G34" s="118" t="s">
        <v>21</v>
      </c>
      <c r="H34" s="118" t="s">
        <v>191</v>
      </c>
      <c r="I34" s="118" t="s">
        <v>192</v>
      </c>
      <c r="J34" s="118">
        <v>2004</v>
      </c>
      <c r="K34" s="118">
        <v>2004</v>
      </c>
      <c r="L34" s="118" t="s">
        <v>193</v>
      </c>
      <c r="M34" s="118" t="s">
        <v>39</v>
      </c>
      <c r="N34" s="127" t="s">
        <v>194</v>
      </c>
      <c r="O34" s="158" t="s">
        <v>23</v>
      </c>
      <c r="P34" s="168"/>
    </row>
    <row r="35" spans="1:16" s="1" customFormat="1" ht="36" x14ac:dyDescent="0.3">
      <c r="A35" s="189">
        <v>33</v>
      </c>
      <c r="B35" s="152" t="s">
        <v>195</v>
      </c>
      <c r="C35" s="121" t="s">
        <v>196</v>
      </c>
      <c r="D35" s="151" t="s">
        <v>86</v>
      </c>
      <c r="E35" s="132" t="s">
        <v>195</v>
      </c>
      <c r="F35" s="118" t="s">
        <v>30</v>
      </c>
      <c r="G35" s="118" t="s">
        <v>21</v>
      </c>
      <c r="H35" s="118" t="s">
        <v>197</v>
      </c>
      <c r="I35" s="118" t="s">
        <v>183</v>
      </c>
      <c r="J35" s="118" t="s">
        <v>198</v>
      </c>
      <c r="K35" s="118">
        <v>2004</v>
      </c>
      <c r="L35" s="118" t="s">
        <v>199</v>
      </c>
      <c r="M35" s="118" t="s">
        <v>39</v>
      </c>
      <c r="N35" s="118"/>
      <c r="O35" s="158" t="s">
        <v>23</v>
      </c>
      <c r="P35" s="168"/>
    </row>
    <row r="36" spans="1:16" s="1" customFormat="1" ht="21" x14ac:dyDescent="0.3">
      <c r="A36" s="116">
        <v>34</v>
      </c>
      <c r="B36" s="152" t="s">
        <v>200</v>
      </c>
      <c r="C36" s="121" t="s">
        <v>201</v>
      </c>
      <c r="D36" s="151" t="s">
        <v>202</v>
      </c>
      <c r="E36" s="132" t="s">
        <v>200</v>
      </c>
      <c r="F36" s="118" t="s">
        <v>20</v>
      </c>
      <c r="G36" s="118" t="s">
        <v>203</v>
      </c>
      <c r="H36" s="118" t="s">
        <v>37</v>
      </c>
      <c r="I36" s="118" t="s">
        <v>23</v>
      </c>
      <c r="J36" s="118" t="s">
        <v>204</v>
      </c>
      <c r="K36" s="118">
        <v>2004</v>
      </c>
      <c r="L36" s="118" t="s">
        <v>24</v>
      </c>
      <c r="M36" s="118" t="s">
        <v>25</v>
      </c>
      <c r="N36" s="118"/>
      <c r="O36" s="158" t="s">
        <v>23</v>
      </c>
      <c r="P36" s="168"/>
    </row>
    <row r="37" spans="1:16" ht="27.6" x14ac:dyDescent="0.3">
      <c r="A37" s="191">
        <v>35</v>
      </c>
      <c r="B37" s="152" t="s">
        <v>205</v>
      </c>
      <c r="C37" s="121" t="s">
        <v>180</v>
      </c>
      <c r="D37" s="151" t="s">
        <v>181</v>
      </c>
      <c r="E37" s="132" t="s">
        <v>205</v>
      </c>
      <c r="F37" s="118" t="s">
        <v>44</v>
      </c>
      <c r="G37" s="118" t="s">
        <v>21</v>
      </c>
      <c r="H37" s="118" t="s">
        <v>206</v>
      </c>
      <c r="I37" s="128" t="s">
        <v>183</v>
      </c>
      <c r="J37" s="118" t="s">
        <v>207</v>
      </c>
      <c r="K37" s="118">
        <v>2005</v>
      </c>
      <c r="L37" s="118" t="s">
        <v>167</v>
      </c>
      <c r="M37" s="118" t="s">
        <v>39</v>
      </c>
      <c r="N37" s="124" t="s">
        <v>208</v>
      </c>
      <c r="O37" s="159" t="s">
        <v>23</v>
      </c>
      <c r="P37" s="168"/>
    </row>
    <row r="38" spans="1:16" s="1" customFormat="1" ht="27.6" x14ac:dyDescent="0.3">
      <c r="A38" s="116">
        <v>36</v>
      </c>
      <c r="B38" s="152" t="s">
        <v>209</v>
      </c>
      <c r="C38" s="121" t="s">
        <v>210</v>
      </c>
      <c r="D38" s="151" t="s">
        <v>43</v>
      </c>
      <c r="E38" s="132" t="s">
        <v>209</v>
      </c>
      <c r="F38" s="118" t="s">
        <v>20</v>
      </c>
      <c r="G38" s="118" t="s">
        <v>21</v>
      </c>
      <c r="H38" s="118" t="s">
        <v>211</v>
      </c>
      <c r="I38" s="118" t="s">
        <v>23</v>
      </c>
      <c r="J38" s="118" t="s">
        <v>212</v>
      </c>
      <c r="K38" s="118">
        <v>2005</v>
      </c>
      <c r="L38" s="119" t="s">
        <v>24</v>
      </c>
      <c r="M38" s="118" t="s">
        <v>25</v>
      </c>
      <c r="N38" s="118"/>
      <c r="O38" s="158" t="s">
        <v>23</v>
      </c>
      <c r="P38" s="168"/>
    </row>
    <row r="39" spans="1:16" ht="36" x14ac:dyDescent="0.3">
      <c r="A39" s="129">
        <v>37</v>
      </c>
      <c r="B39" s="152" t="s">
        <v>213</v>
      </c>
      <c r="C39" s="121" t="s">
        <v>214</v>
      </c>
      <c r="D39" s="151" t="s">
        <v>202</v>
      </c>
      <c r="E39" s="132" t="s">
        <v>213</v>
      </c>
      <c r="F39" s="118" t="s">
        <v>20</v>
      </c>
      <c r="G39" s="118" t="s">
        <v>21</v>
      </c>
      <c r="H39" s="118" t="s">
        <v>215</v>
      </c>
      <c r="I39" s="118" t="s">
        <v>216</v>
      </c>
      <c r="J39" s="118">
        <v>2005</v>
      </c>
      <c r="K39" s="118">
        <v>2005</v>
      </c>
      <c r="L39" s="118" t="s">
        <v>217</v>
      </c>
      <c r="M39" s="118" t="s">
        <v>39</v>
      </c>
      <c r="N39" s="118" t="s">
        <v>218</v>
      </c>
      <c r="O39" s="159" t="s">
        <v>23</v>
      </c>
      <c r="P39" s="168"/>
    </row>
    <row r="40" spans="1:16" ht="27.6" x14ac:dyDescent="0.3">
      <c r="A40" s="190">
        <v>38</v>
      </c>
      <c r="B40" s="152" t="s">
        <v>219</v>
      </c>
      <c r="C40" s="121" t="s">
        <v>220</v>
      </c>
      <c r="D40" s="151" t="s">
        <v>51</v>
      </c>
      <c r="E40" s="132" t="s">
        <v>219</v>
      </c>
      <c r="F40" s="118" t="s">
        <v>30</v>
      </c>
      <c r="G40" s="118" t="s">
        <v>21</v>
      </c>
      <c r="H40" s="118" t="s">
        <v>221</v>
      </c>
      <c r="I40" s="128" t="s">
        <v>23</v>
      </c>
      <c r="J40" s="118" t="s">
        <v>222</v>
      </c>
      <c r="K40" s="118">
        <v>2006</v>
      </c>
      <c r="L40" s="118" t="s">
        <v>54</v>
      </c>
      <c r="M40" s="118" t="s">
        <v>39</v>
      </c>
      <c r="N40" s="118"/>
      <c r="O40" s="159" t="s">
        <v>23</v>
      </c>
      <c r="P40" s="168"/>
    </row>
    <row r="41" spans="1:16" ht="27.6" x14ac:dyDescent="0.3">
      <c r="A41" s="190">
        <v>39</v>
      </c>
      <c r="B41" s="152" t="s">
        <v>223</v>
      </c>
      <c r="C41" s="121" t="s">
        <v>224</v>
      </c>
      <c r="D41" s="151" t="s">
        <v>99</v>
      </c>
      <c r="E41" s="132" t="s">
        <v>223</v>
      </c>
      <c r="F41" s="118" t="s">
        <v>20</v>
      </c>
      <c r="G41" s="118" t="s">
        <v>21</v>
      </c>
      <c r="H41" s="118" t="s">
        <v>225</v>
      </c>
      <c r="I41" s="118" t="s">
        <v>226</v>
      </c>
      <c r="J41" s="128" t="s">
        <v>222</v>
      </c>
      <c r="K41" s="128">
        <v>2006</v>
      </c>
      <c r="L41" s="118" t="s">
        <v>159</v>
      </c>
      <c r="M41" s="118" t="s">
        <v>39</v>
      </c>
      <c r="N41" s="118" t="s">
        <v>227</v>
      </c>
      <c r="O41" s="159" t="s">
        <v>23</v>
      </c>
      <c r="P41" s="168"/>
    </row>
    <row r="42" spans="1:16" ht="41.4" x14ac:dyDescent="0.3">
      <c r="A42" s="129">
        <v>40</v>
      </c>
      <c r="B42" s="152" t="s">
        <v>228</v>
      </c>
      <c r="C42" s="121" t="s">
        <v>229</v>
      </c>
      <c r="D42" s="151" t="s">
        <v>230</v>
      </c>
      <c r="E42" s="132" t="s">
        <v>228</v>
      </c>
      <c r="F42" s="118" t="s">
        <v>20</v>
      </c>
      <c r="G42" s="118" t="s">
        <v>58</v>
      </c>
      <c r="H42" s="118" t="s">
        <v>231</v>
      </c>
      <c r="I42" s="118" t="s">
        <v>232</v>
      </c>
      <c r="J42" s="123" t="s">
        <v>233</v>
      </c>
      <c r="K42" s="118">
        <v>2006</v>
      </c>
      <c r="L42" s="118" t="s">
        <v>167</v>
      </c>
      <c r="M42" s="118" t="s">
        <v>39</v>
      </c>
      <c r="N42" s="118"/>
      <c r="O42" s="158" t="s">
        <v>234</v>
      </c>
      <c r="P42" s="168"/>
    </row>
    <row r="43" spans="1:16" s="1" customFormat="1" ht="36" x14ac:dyDescent="0.3">
      <c r="A43" s="116">
        <v>41</v>
      </c>
      <c r="B43" s="152" t="s">
        <v>235</v>
      </c>
      <c r="C43" s="121" t="s">
        <v>236</v>
      </c>
      <c r="D43" s="151" t="s">
        <v>57</v>
      </c>
      <c r="E43" s="132" t="s">
        <v>235</v>
      </c>
      <c r="F43" s="118" t="s">
        <v>20</v>
      </c>
      <c r="G43" s="118" t="s">
        <v>21</v>
      </c>
      <c r="H43" s="118" t="s">
        <v>37</v>
      </c>
      <c r="I43" s="118" t="s">
        <v>23</v>
      </c>
      <c r="J43" s="118" t="s">
        <v>237</v>
      </c>
      <c r="K43" s="118">
        <v>2007</v>
      </c>
      <c r="L43" s="118" t="s">
        <v>193</v>
      </c>
      <c r="M43" s="118" t="s">
        <v>25</v>
      </c>
      <c r="N43" s="118"/>
      <c r="O43" s="158" t="s">
        <v>23</v>
      </c>
      <c r="P43" s="168"/>
    </row>
    <row r="44" spans="1:16" ht="27.6" x14ac:dyDescent="0.3">
      <c r="A44" s="191">
        <v>42</v>
      </c>
      <c r="B44" s="152" t="s">
        <v>238</v>
      </c>
      <c r="C44" s="121" t="s">
        <v>239</v>
      </c>
      <c r="D44" s="151" t="s">
        <v>35</v>
      </c>
      <c r="E44" s="132" t="s">
        <v>238</v>
      </c>
      <c r="F44" s="118" t="s">
        <v>20</v>
      </c>
      <c r="G44" s="118" t="s">
        <v>21</v>
      </c>
      <c r="H44" s="118" t="s">
        <v>240</v>
      </c>
      <c r="I44" s="128" t="s">
        <v>23</v>
      </c>
      <c r="J44" s="118" t="s">
        <v>241</v>
      </c>
      <c r="K44" s="118">
        <v>2007</v>
      </c>
      <c r="L44" s="118" t="s">
        <v>116</v>
      </c>
      <c r="M44" s="118" t="s">
        <v>39</v>
      </c>
      <c r="N44" s="124" t="s">
        <v>242</v>
      </c>
      <c r="O44" s="159" t="s">
        <v>23</v>
      </c>
      <c r="P44" s="168"/>
    </row>
    <row r="45" spans="1:16" ht="27.6" x14ac:dyDescent="0.3">
      <c r="A45" s="190">
        <v>43</v>
      </c>
      <c r="B45" s="152" t="s">
        <v>243</v>
      </c>
      <c r="C45" s="121" t="s">
        <v>244</v>
      </c>
      <c r="D45" s="151" t="s">
        <v>51</v>
      </c>
      <c r="E45" s="132" t="s">
        <v>243</v>
      </c>
      <c r="F45" s="118" t="s">
        <v>30</v>
      </c>
      <c r="G45" s="118" t="s">
        <v>21</v>
      </c>
      <c r="H45" s="118" t="s">
        <v>245</v>
      </c>
      <c r="I45" s="118" t="s">
        <v>246</v>
      </c>
      <c r="J45" s="118" t="s">
        <v>247</v>
      </c>
      <c r="K45" s="118">
        <v>2007</v>
      </c>
      <c r="L45" s="118" t="s">
        <v>248</v>
      </c>
      <c r="M45" s="118" t="s">
        <v>39</v>
      </c>
      <c r="N45" s="118" t="s">
        <v>249</v>
      </c>
      <c r="O45" s="159" t="s">
        <v>23</v>
      </c>
      <c r="P45" s="168"/>
    </row>
    <row r="46" spans="1:16" ht="41.4" x14ac:dyDescent="0.3">
      <c r="A46" s="190">
        <v>44</v>
      </c>
      <c r="B46" s="152" t="s">
        <v>250</v>
      </c>
      <c r="C46" s="121" t="s">
        <v>196</v>
      </c>
      <c r="D46" s="151" t="s">
        <v>86</v>
      </c>
      <c r="E46" s="132" t="s">
        <v>250</v>
      </c>
      <c r="F46" s="118" t="s">
        <v>20</v>
      </c>
      <c r="G46" s="118" t="s">
        <v>21</v>
      </c>
      <c r="H46" s="118" t="s">
        <v>251</v>
      </c>
      <c r="I46" s="118" t="s">
        <v>252</v>
      </c>
      <c r="J46" s="118" t="s">
        <v>253</v>
      </c>
      <c r="K46" s="118">
        <v>2007</v>
      </c>
      <c r="L46" s="118" t="s">
        <v>254</v>
      </c>
      <c r="M46" s="118" t="s">
        <v>39</v>
      </c>
      <c r="N46" s="118"/>
      <c r="O46" s="159" t="s">
        <v>23</v>
      </c>
      <c r="P46" s="168"/>
    </row>
    <row r="47" spans="1:16" ht="41.4" x14ac:dyDescent="0.3">
      <c r="A47" s="191">
        <v>45</v>
      </c>
      <c r="B47" s="152" t="s">
        <v>255</v>
      </c>
      <c r="C47" s="121" t="s">
        <v>220</v>
      </c>
      <c r="D47" s="151" t="s">
        <v>51</v>
      </c>
      <c r="E47" s="132" t="s">
        <v>255</v>
      </c>
      <c r="F47" s="118" t="s">
        <v>256</v>
      </c>
      <c r="G47" s="118" t="s">
        <v>21</v>
      </c>
      <c r="H47" s="118" t="s">
        <v>257</v>
      </c>
      <c r="I47" s="118" t="s">
        <v>258</v>
      </c>
      <c r="J47" s="118" t="s">
        <v>259</v>
      </c>
      <c r="K47" s="118">
        <v>2008</v>
      </c>
      <c r="L47" s="124" t="s">
        <v>260</v>
      </c>
      <c r="M47" s="118" t="s">
        <v>39</v>
      </c>
      <c r="N47" s="124" t="s">
        <v>261</v>
      </c>
      <c r="O47" s="158" t="s">
        <v>262</v>
      </c>
      <c r="P47" s="168"/>
    </row>
    <row r="48" spans="1:16" ht="27.6" x14ac:dyDescent="0.3">
      <c r="A48" s="191">
        <v>46</v>
      </c>
      <c r="B48" s="152" t="s">
        <v>263</v>
      </c>
      <c r="C48" s="121" t="s">
        <v>93</v>
      </c>
      <c r="D48" s="151" t="s">
        <v>94</v>
      </c>
      <c r="E48" s="132" t="s">
        <v>263</v>
      </c>
      <c r="F48" s="118" t="s">
        <v>44</v>
      </c>
      <c r="G48" s="118" t="s">
        <v>21</v>
      </c>
      <c r="H48" s="118" t="s">
        <v>264</v>
      </c>
      <c r="I48" s="118" t="s">
        <v>265</v>
      </c>
      <c r="J48" s="128">
        <v>2008</v>
      </c>
      <c r="K48" s="128">
        <v>2008</v>
      </c>
      <c r="L48" s="128" t="s">
        <v>54</v>
      </c>
      <c r="M48" s="118" t="s">
        <v>39</v>
      </c>
      <c r="N48" s="124" t="s">
        <v>266</v>
      </c>
      <c r="O48" s="159" t="s">
        <v>23</v>
      </c>
      <c r="P48" s="168"/>
    </row>
    <row r="49" spans="1:16" s="1" customFormat="1" ht="41.4" x14ac:dyDescent="0.3">
      <c r="A49" s="116">
        <v>47</v>
      </c>
      <c r="B49" s="152" t="s">
        <v>267</v>
      </c>
      <c r="C49" s="121" t="s">
        <v>133</v>
      </c>
      <c r="D49" s="151" t="s">
        <v>129</v>
      </c>
      <c r="E49" s="132" t="s">
        <v>267</v>
      </c>
      <c r="F49" s="118" t="s">
        <v>44</v>
      </c>
      <c r="G49" s="118" t="s">
        <v>21</v>
      </c>
      <c r="H49" s="118" t="s">
        <v>268</v>
      </c>
      <c r="I49" s="118" t="s">
        <v>23</v>
      </c>
      <c r="J49" s="118">
        <v>2008</v>
      </c>
      <c r="K49" s="118">
        <v>2008</v>
      </c>
      <c r="L49" s="118" t="s">
        <v>69</v>
      </c>
      <c r="M49" s="118" t="s">
        <v>25</v>
      </c>
      <c r="N49" s="118" t="s">
        <v>269</v>
      </c>
      <c r="O49" s="158" t="s">
        <v>23</v>
      </c>
      <c r="P49" s="168"/>
    </row>
    <row r="50" spans="1:16" ht="27.6" x14ac:dyDescent="0.3">
      <c r="A50" s="190">
        <v>48</v>
      </c>
      <c r="B50" s="152" t="s">
        <v>270</v>
      </c>
      <c r="C50" s="121" t="s">
        <v>224</v>
      </c>
      <c r="D50" s="151" t="s">
        <v>99</v>
      </c>
      <c r="E50" s="132" t="s">
        <v>270</v>
      </c>
      <c r="F50" s="118" t="s">
        <v>44</v>
      </c>
      <c r="G50" s="118" t="s">
        <v>21</v>
      </c>
      <c r="H50" s="118" t="s">
        <v>271</v>
      </c>
      <c r="I50" s="118" t="s">
        <v>226</v>
      </c>
      <c r="J50" s="118" t="s">
        <v>272</v>
      </c>
      <c r="K50" s="128">
        <v>2008</v>
      </c>
      <c r="L50" s="118" t="s">
        <v>273</v>
      </c>
      <c r="M50" s="118" t="s">
        <v>39</v>
      </c>
      <c r="N50" s="118"/>
      <c r="O50" s="159" t="s">
        <v>23</v>
      </c>
      <c r="P50" s="168"/>
    </row>
    <row r="51" spans="1:16" s="59" customFormat="1" ht="27.6" x14ac:dyDescent="0.3">
      <c r="A51" s="116">
        <v>49</v>
      </c>
      <c r="B51" s="152" t="s">
        <v>274</v>
      </c>
      <c r="C51" s="121" t="s">
        <v>275</v>
      </c>
      <c r="D51" s="151" t="s">
        <v>43</v>
      </c>
      <c r="E51" s="132" t="s">
        <v>274</v>
      </c>
      <c r="F51" s="118" t="s">
        <v>20</v>
      </c>
      <c r="G51" s="118" t="s">
        <v>21</v>
      </c>
      <c r="H51" s="118" t="s">
        <v>276</v>
      </c>
      <c r="I51" s="118" t="s">
        <v>23</v>
      </c>
      <c r="J51" s="118" t="s">
        <v>277</v>
      </c>
      <c r="K51" s="118">
        <v>2008</v>
      </c>
      <c r="L51" s="118" t="s">
        <v>116</v>
      </c>
      <c r="M51" s="118" t="s">
        <v>25</v>
      </c>
      <c r="N51" s="118"/>
      <c r="O51" s="158" t="s">
        <v>23</v>
      </c>
      <c r="P51" s="168"/>
    </row>
    <row r="52" spans="1:16" ht="55.2" x14ac:dyDescent="0.3">
      <c r="A52" s="190">
        <v>50</v>
      </c>
      <c r="B52" s="152" t="s">
        <v>278</v>
      </c>
      <c r="C52" s="121" t="s">
        <v>2506</v>
      </c>
      <c r="D52" s="151" t="s">
        <v>86</v>
      </c>
      <c r="E52" s="132" t="s">
        <v>278</v>
      </c>
      <c r="F52" s="118" t="s">
        <v>44</v>
      </c>
      <c r="G52" s="118" t="s">
        <v>21</v>
      </c>
      <c r="H52" s="118" t="s">
        <v>280</v>
      </c>
      <c r="I52" s="118" t="s">
        <v>23</v>
      </c>
      <c r="J52" s="123">
        <v>39493</v>
      </c>
      <c r="K52" s="118">
        <v>2008</v>
      </c>
      <c r="L52" s="118" t="s">
        <v>281</v>
      </c>
      <c r="M52" s="118" t="s">
        <v>39</v>
      </c>
      <c r="N52" s="118" t="s">
        <v>282</v>
      </c>
      <c r="O52" s="159" t="s">
        <v>23</v>
      </c>
      <c r="P52" s="168"/>
    </row>
    <row r="53" spans="1:16" ht="41.4" x14ac:dyDescent="0.3">
      <c r="A53" s="129">
        <v>51</v>
      </c>
      <c r="B53" s="152" t="s">
        <v>283</v>
      </c>
      <c r="C53" s="121" t="s">
        <v>284</v>
      </c>
      <c r="D53" s="151" t="s">
        <v>202</v>
      </c>
      <c r="E53" s="132" t="s">
        <v>283</v>
      </c>
      <c r="F53" s="118" t="s">
        <v>20</v>
      </c>
      <c r="G53" s="118" t="s">
        <v>203</v>
      </c>
      <c r="H53" s="118" t="s">
        <v>285</v>
      </c>
      <c r="I53" s="118" t="s">
        <v>46</v>
      </c>
      <c r="J53" s="123">
        <v>39717</v>
      </c>
      <c r="K53" s="118">
        <v>2008</v>
      </c>
      <c r="L53" s="118" t="s">
        <v>54</v>
      </c>
      <c r="M53" s="118" t="s">
        <v>39</v>
      </c>
      <c r="N53" s="118"/>
      <c r="O53" s="159" t="s">
        <v>23</v>
      </c>
      <c r="P53" s="168"/>
    </row>
    <row r="54" spans="1:16" ht="69" x14ac:dyDescent="0.3">
      <c r="A54" s="191">
        <v>52</v>
      </c>
      <c r="B54" s="152" t="s">
        <v>286</v>
      </c>
      <c r="C54" s="121" t="s">
        <v>287</v>
      </c>
      <c r="D54" s="151" t="s">
        <v>65</v>
      </c>
      <c r="E54" s="132" t="s">
        <v>286</v>
      </c>
      <c r="F54" s="118" t="s">
        <v>44</v>
      </c>
      <c r="G54" s="118" t="s">
        <v>65</v>
      </c>
      <c r="H54" s="118" t="s">
        <v>288</v>
      </c>
      <c r="I54" s="118" t="s">
        <v>289</v>
      </c>
      <c r="J54" s="118">
        <v>2008</v>
      </c>
      <c r="K54" s="118">
        <v>2008</v>
      </c>
      <c r="L54" s="119" t="s">
        <v>290</v>
      </c>
      <c r="M54" s="118" t="s">
        <v>39</v>
      </c>
      <c r="N54" s="124" t="s">
        <v>291</v>
      </c>
      <c r="O54" s="159" t="s">
        <v>23</v>
      </c>
      <c r="P54" s="168"/>
    </row>
    <row r="55" spans="1:16" ht="41.4" x14ac:dyDescent="0.3">
      <c r="A55" s="190">
        <v>53</v>
      </c>
      <c r="B55" s="152" t="s">
        <v>292</v>
      </c>
      <c r="C55" s="121" t="s">
        <v>293</v>
      </c>
      <c r="D55" s="151" t="s">
        <v>65</v>
      </c>
      <c r="E55" s="132" t="s">
        <v>292</v>
      </c>
      <c r="F55" s="118" t="s">
        <v>44</v>
      </c>
      <c r="G55" s="118" t="s">
        <v>65</v>
      </c>
      <c r="H55" s="118" t="s">
        <v>294</v>
      </c>
      <c r="I55" s="118" t="s">
        <v>295</v>
      </c>
      <c r="J55" s="118">
        <v>2008</v>
      </c>
      <c r="K55" s="118">
        <v>2008</v>
      </c>
      <c r="L55" s="118" t="s">
        <v>296</v>
      </c>
      <c r="M55" s="118" t="s">
        <v>39</v>
      </c>
      <c r="N55" s="118"/>
      <c r="O55" s="159" t="s">
        <v>23</v>
      </c>
      <c r="P55" s="168"/>
    </row>
    <row r="56" spans="1:16" ht="55.2" x14ac:dyDescent="0.3">
      <c r="A56" s="190">
        <v>54</v>
      </c>
      <c r="B56" s="152" t="s">
        <v>297</v>
      </c>
      <c r="C56" s="121" t="s">
        <v>298</v>
      </c>
      <c r="D56" s="151" t="s">
        <v>65</v>
      </c>
      <c r="E56" s="132" t="s">
        <v>297</v>
      </c>
      <c r="F56" s="118" t="s">
        <v>30</v>
      </c>
      <c r="G56" s="118" t="s">
        <v>65</v>
      </c>
      <c r="H56" s="118" t="s">
        <v>299</v>
      </c>
      <c r="I56" s="118" t="s">
        <v>300</v>
      </c>
      <c r="J56" s="118">
        <v>2008</v>
      </c>
      <c r="K56" s="118">
        <v>2008</v>
      </c>
      <c r="L56" s="119" t="s">
        <v>167</v>
      </c>
      <c r="M56" s="118" t="s">
        <v>39</v>
      </c>
      <c r="N56" s="118"/>
      <c r="O56" s="158" t="s">
        <v>301</v>
      </c>
      <c r="P56" s="168"/>
    </row>
    <row r="57" spans="1:16" s="1" customFormat="1" ht="72" x14ac:dyDescent="0.3">
      <c r="A57" s="116">
        <v>55</v>
      </c>
      <c r="B57" s="152" t="s">
        <v>302</v>
      </c>
      <c r="C57" s="121" t="s">
        <v>303</v>
      </c>
      <c r="D57" s="151" t="s">
        <v>202</v>
      </c>
      <c r="E57" s="132" t="s">
        <v>302</v>
      </c>
      <c r="F57" s="118" t="s">
        <v>20</v>
      </c>
      <c r="G57" s="118" t="s">
        <v>203</v>
      </c>
      <c r="H57" s="118" t="s">
        <v>304</v>
      </c>
      <c r="I57" s="118" t="s">
        <v>305</v>
      </c>
      <c r="J57" s="123" t="s">
        <v>306</v>
      </c>
      <c r="K57" s="118">
        <v>2008</v>
      </c>
      <c r="L57" s="118" t="s">
        <v>90</v>
      </c>
      <c r="M57" s="118" t="s">
        <v>25</v>
      </c>
      <c r="N57" s="118"/>
      <c r="O57" s="158" t="s">
        <v>23</v>
      </c>
      <c r="P57" s="168"/>
    </row>
    <row r="58" spans="1:16" ht="36" x14ac:dyDescent="0.3">
      <c r="A58" s="191">
        <v>56</v>
      </c>
      <c r="B58" s="152" t="s">
        <v>307</v>
      </c>
      <c r="C58" s="121" t="s">
        <v>214</v>
      </c>
      <c r="D58" s="151" t="s">
        <v>202</v>
      </c>
      <c r="E58" s="132" t="s">
        <v>307</v>
      </c>
      <c r="F58" s="118" t="s">
        <v>20</v>
      </c>
      <c r="G58" s="118" t="s">
        <v>21</v>
      </c>
      <c r="H58" s="118" t="s">
        <v>215</v>
      </c>
      <c r="I58" s="118" t="s">
        <v>216</v>
      </c>
      <c r="J58" s="118" t="s">
        <v>308</v>
      </c>
      <c r="K58" s="118">
        <v>2008</v>
      </c>
      <c r="L58" s="118" t="s">
        <v>217</v>
      </c>
      <c r="M58" s="118" t="s">
        <v>39</v>
      </c>
      <c r="N58" s="124" t="s">
        <v>309</v>
      </c>
      <c r="O58" s="159" t="s">
        <v>23</v>
      </c>
      <c r="P58" s="168"/>
    </row>
    <row r="59" spans="1:16" ht="36" x14ac:dyDescent="0.3">
      <c r="A59" s="195">
        <v>57</v>
      </c>
      <c r="B59" s="152" t="s">
        <v>310</v>
      </c>
      <c r="C59" s="121" t="s">
        <v>311</v>
      </c>
      <c r="D59" s="151" t="s">
        <v>202</v>
      </c>
      <c r="E59" s="132" t="s">
        <v>310</v>
      </c>
      <c r="F59" s="118" t="s">
        <v>20</v>
      </c>
      <c r="G59" s="118" t="s">
        <v>21</v>
      </c>
      <c r="H59" s="118" t="s">
        <v>312</v>
      </c>
      <c r="I59" s="118" t="s">
        <v>313</v>
      </c>
      <c r="J59" s="118" t="s">
        <v>308</v>
      </c>
      <c r="K59" s="118">
        <v>2008</v>
      </c>
      <c r="L59" s="118" t="s">
        <v>314</v>
      </c>
      <c r="M59" s="118" t="s">
        <v>39</v>
      </c>
      <c r="N59" s="120" t="s">
        <v>315</v>
      </c>
      <c r="O59" s="159" t="s">
        <v>23</v>
      </c>
      <c r="P59" s="168"/>
    </row>
    <row r="60" spans="1:16" ht="36" x14ac:dyDescent="0.3">
      <c r="A60" s="191">
        <v>58</v>
      </c>
      <c r="B60" s="152" t="s">
        <v>316</v>
      </c>
      <c r="C60" s="121" t="s">
        <v>317</v>
      </c>
      <c r="D60" s="151" t="s">
        <v>318</v>
      </c>
      <c r="E60" s="132" t="s">
        <v>316</v>
      </c>
      <c r="F60" s="118" t="s">
        <v>44</v>
      </c>
      <c r="G60" s="118" t="s">
        <v>58</v>
      </c>
      <c r="H60" s="118" t="s">
        <v>319</v>
      </c>
      <c r="I60" s="118" t="s">
        <v>23</v>
      </c>
      <c r="J60" s="118" t="s">
        <v>320</v>
      </c>
      <c r="K60" s="118">
        <v>2008</v>
      </c>
      <c r="L60" s="118" t="s">
        <v>321</v>
      </c>
      <c r="M60" s="118" t="s">
        <v>39</v>
      </c>
      <c r="N60" s="124" t="s">
        <v>322</v>
      </c>
      <c r="O60" s="159" t="s">
        <v>23</v>
      </c>
      <c r="P60" s="168"/>
    </row>
    <row r="61" spans="1:16" s="1" customFormat="1" ht="126" x14ac:dyDescent="0.3">
      <c r="A61" s="204">
        <v>59</v>
      </c>
      <c r="B61" s="152" t="s">
        <v>323</v>
      </c>
      <c r="C61" s="121" t="s">
        <v>324</v>
      </c>
      <c r="D61" s="151" t="s">
        <v>202</v>
      </c>
      <c r="E61" s="132" t="s">
        <v>323</v>
      </c>
      <c r="F61" s="205" t="s">
        <v>325</v>
      </c>
      <c r="G61" s="205" t="s">
        <v>21</v>
      </c>
      <c r="H61" s="205" t="s">
        <v>326</v>
      </c>
      <c r="I61" s="205" t="s">
        <v>23</v>
      </c>
      <c r="J61" s="205" t="s">
        <v>327</v>
      </c>
      <c r="K61" s="205">
        <v>2008</v>
      </c>
      <c r="L61" s="205" t="s">
        <v>24</v>
      </c>
      <c r="M61" s="205" t="s">
        <v>25</v>
      </c>
      <c r="N61" s="205"/>
      <c r="O61" s="206" t="s">
        <v>23</v>
      </c>
      <c r="P61" s="168"/>
    </row>
    <row r="62" spans="1:16" s="1" customFormat="1" ht="41.4" x14ac:dyDescent="0.3">
      <c r="A62" s="116">
        <v>60</v>
      </c>
      <c r="B62" s="152" t="s">
        <v>328</v>
      </c>
      <c r="C62" s="121" t="s">
        <v>329</v>
      </c>
      <c r="D62" s="151" t="s">
        <v>86</v>
      </c>
      <c r="E62" s="132" t="s">
        <v>328</v>
      </c>
      <c r="F62" s="118" t="s">
        <v>30</v>
      </c>
      <c r="G62" s="118" t="s">
        <v>171</v>
      </c>
      <c r="H62" s="118" t="s">
        <v>330</v>
      </c>
      <c r="I62" s="118" t="s">
        <v>331</v>
      </c>
      <c r="J62" s="118" t="s">
        <v>332</v>
      </c>
      <c r="K62" s="118">
        <v>2008</v>
      </c>
      <c r="L62" s="118" t="s">
        <v>24</v>
      </c>
      <c r="M62" s="118" t="s">
        <v>25</v>
      </c>
      <c r="N62" s="118" t="s">
        <v>333</v>
      </c>
      <c r="O62" s="158" t="s">
        <v>334</v>
      </c>
      <c r="P62" s="168"/>
    </row>
    <row r="63" spans="1:16" s="1" customFormat="1" ht="27.6" x14ac:dyDescent="0.3">
      <c r="A63" s="189">
        <v>61</v>
      </c>
      <c r="B63" s="152" t="s">
        <v>335</v>
      </c>
      <c r="C63" s="121" t="s">
        <v>336</v>
      </c>
      <c r="D63" s="151" t="s">
        <v>99</v>
      </c>
      <c r="E63" s="132" t="s">
        <v>335</v>
      </c>
      <c r="F63" s="118" t="s">
        <v>20</v>
      </c>
      <c r="G63" s="118" t="s">
        <v>21</v>
      </c>
      <c r="H63" s="118" t="s">
        <v>337</v>
      </c>
      <c r="I63" s="118" t="s">
        <v>295</v>
      </c>
      <c r="J63" s="118" t="s">
        <v>338</v>
      </c>
      <c r="K63" s="118">
        <v>2009</v>
      </c>
      <c r="L63" s="118" t="s">
        <v>339</v>
      </c>
      <c r="M63" s="118" t="s">
        <v>39</v>
      </c>
      <c r="N63" s="118"/>
      <c r="O63" s="158" t="s">
        <v>23</v>
      </c>
      <c r="P63" s="168"/>
    </row>
    <row r="64" spans="1:16" s="1" customFormat="1" ht="27.6" x14ac:dyDescent="0.3">
      <c r="A64" s="116">
        <v>62</v>
      </c>
      <c r="B64" s="152" t="s">
        <v>340</v>
      </c>
      <c r="C64" s="121" t="s">
        <v>341</v>
      </c>
      <c r="D64" s="151" t="s">
        <v>99</v>
      </c>
      <c r="E64" s="132" t="s">
        <v>340</v>
      </c>
      <c r="F64" s="118" t="s">
        <v>20</v>
      </c>
      <c r="G64" s="118" t="s">
        <v>21</v>
      </c>
      <c r="H64" s="118" t="s">
        <v>342</v>
      </c>
      <c r="I64" s="118" t="s">
        <v>343</v>
      </c>
      <c r="J64" s="118" t="s">
        <v>344</v>
      </c>
      <c r="K64" s="118">
        <v>2009</v>
      </c>
      <c r="L64" s="118" t="s">
        <v>193</v>
      </c>
      <c r="M64" s="118" t="s">
        <v>25</v>
      </c>
      <c r="N64" s="118"/>
      <c r="O64" s="158" t="s">
        <v>23</v>
      </c>
      <c r="P64" s="168" t="s">
        <v>345</v>
      </c>
    </row>
    <row r="65" spans="1:16" s="1" customFormat="1" ht="27.6" x14ac:dyDescent="0.3">
      <c r="A65" s="116">
        <v>63</v>
      </c>
      <c r="B65" s="152" t="s">
        <v>346</v>
      </c>
      <c r="C65" s="121" t="s">
        <v>347</v>
      </c>
      <c r="D65" s="151" t="s">
        <v>99</v>
      </c>
      <c r="E65" s="132" t="s">
        <v>346</v>
      </c>
      <c r="F65" s="118" t="s">
        <v>20</v>
      </c>
      <c r="G65" s="118" t="s">
        <v>21</v>
      </c>
      <c r="H65" s="118" t="s">
        <v>348</v>
      </c>
      <c r="I65" s="118" t="s">
        <v>349</v>
      </c>
      <c r="J65" s="118" t="s">
        <v>350</v>
      </c>
      <c r="K65" s="118">
        <v>2009</v>
      </c>
      <c r="L65" s="118" t="s">
        <v>193</v>
      </c>
      <c r="M65" s="118" t="s">
        <v>25</v>
      </c>
      <c r="N65" s="118"/>
      <c r="O65" s="158" t="s">
        <v>351</v>
      </c>
      <c r="P65" s="168" t="s">
        <v>352</v>
      </c>
    </row>
    <row r="66" spans="1:16" ht="36" x14ac:dyDescent="0.3">
      <c r="A66" s="190">
        <v>64</v>
      </c>
      <c r="B66" s="152" t="s">
        <v>353</v>
      </c>
      <c r="C66" s="121" t="s">
        <v>354</v>
      </c>
      <c r="D66" s="151" t="s">
        <v>99</v>
      </c>
      <c r="E66" s="132" t="s">
        <v>353</v>
      </c>
      <c r="F66" s="118" t="s">
        <v>20</v>
      </c>
      <c r="G66" s="118" t="s">
        <v>21</v>
      </c>
      <c r="H66" s="118" t="s">
        <v>355</v>
      </c>
      <c r="I66" s="128" t="s">
        <v>23</v>
      </c>
      <c r="J66" s="118" t="s">
        <v>356</v>
      </c>
      <c r="K66" s="128">
        <v>2009</v>
      </c>
      <c r="L66" s="118" t="s">
        <v>159</v>
      </c>
      <c r="M66" s="118" t="s">
        <v>39</v>
      </c>
      <c r="N66" s="118"/>
      <c r="O66" s="159" t="s">
        <v>23</v>
      </c>
      <c r="P66" s="168"/>
    </row>
    <row r="67" spans="1:16" ht="27.6" x14ac:dyDescent="0.3">
      <c r="A67" s="190">
        <v>65</v>
      </c>
      <c r="B67" s="152" t="s">
        <v>357</v>
      </c>
      <c r="C67" s="121" t="s">
        <v>358</v>
      </c>
      <c r="D67" s="151" t="s">
        <v>359</v>
      </c>
      <c r="E67" s="132" t="s">
        <v>357</v>
      </c>
      <c r="F67" s="118" t="s">
        <v>325</v>
      </c>
      <c r="G67" s="118" t="s">
        <v>360</v>
      </c>
      <c r="H67" s="118" t="s">
        <v>361</v>
      </c>
      <c r="I67" s="118" t="s">
        <v>305</v>
      </c>
      <c r="J67" s="123" t="s">
        <v>362</v>
      </c>
      <c r="K67" s="118">
        <v>2009</v>
      </c>
      <c r="L67" s="118" t="s">
        <v>363</v>
      </c>
      <c r="M67" s="118" t="s">
        <v>39</v>
      </c>
      <c r="N67" s="118"/>
      <c r="O67" s="159" t="s">
        <v>23</v>
      </c>
      <c r="P67" s="168"/>
    </row>
    <row r="68" spans="1:16" ht="41.4" x14ac:dyDescent="0.3">
      <c r="A68" s="190">
        <v>66</v>
      </c>
      <c r="B68" s="152" t="s">
        <v>364</v>
      </c>
      <c r="C68" s="121" t="s">
        <v>365</v>
      </c>
      <c r="D68" s="151" t="s">
        <v>19</v>
      </c>
      <c r="E68" s="132" t="s">
        <v>364</v>
      </c>
      <c r="F68" s="118" t="s">
        <v>325</v>
      </c>
      <c r="G68" s="118" t="s">
        <v>21</v>
      </c>
      <c r="H68" s="118" t="s">
        <v>366</v>
      </c>
      <c r="I68" s="118" t="s">
        <v>367</v>
      </c>
      <c r="J68" s="118">
        <v>2009</v>
      </c>
      <c r="K68" s="118">
        <v>2009</v>
      </c>
      <c r="L68" s="118" t="s">
        <v>38</v>
      </c>
      <c r="M68" s="118" t="s">
        <v>39</v>
      </c>
      <c r="N68" s="118" t="s">
        <v>368</v>
      </c>
      <c r="O68" s="158" t="s">
        <v>369</v>
      </c>
      <c r="P68" s="168"/>
    </row>
    <row r="69" spans="1:16" ht="55.2" x14ac:dyDescent="0.3">
      <c r="A69" s="129">
        <v>67</v>
      </c>
      <c r="B69" s="152" t="s">
        <v>370</v>
      </c>
      <c r="C69" s="121" t="s">
        <v>371</v>
      </c>
      <c r="D69" s="151" t="s">
        <v>65</v>
      </c>
      <c r="E69" s="132" t="s">
        <v>370</v>
      </c>
      <c r="F69" s="128" t="s">
        <v>20</v>
      </c>
      <c r="G69" s="118" t="s">
        <v>65</v>
      </c>
      <c r="H69" s="118" t="s">
        <v>372</v>
      </c>
      <c r="I69" s="118" t="s">
        <v>226</v>
      </c>
      <c r="J69" s="123" t="s">
        <v>373</v>
      </c>
      <c r="K69" s="118">
        <v>2009</v>
      </c>
      <c r="L69" s="118" t="s">
        <v>281</v>
      </c>
      <c r="M69" s="118" t="s">
        <v>39</v>
      </c>
      <c r="N69" s="118" t="s">
        <v>374</v>
      </c>
      <c r="O69" s="158" t="s">
        <v>375</v>
      </c>
      <c r="P69" s="168"/>
    </row>
    <row r="70" spans="1:16" ht="41.4" x14ac:dyDescent="0.3">
      <c r="A70" s="190">
        <v>68</v>
      </c>
      <c r="B70" s="152" t="s">
        <v>376</v>
      </c>
      <c r="C70" s="121" t="s">
        <v>377</v>
      </c>
      <c r="D70" s="151" t="s">
        <v>359</v>
      </c>
      <c r="E70" s="132" t="s">
        <v>376</v>
      </c>
      <c r="F70" s="118" t="s">
        <v>325</v>
      </c>
      <c r="G70" s="118" t="s">
        <v>21</v>
      </c>
      <c r="H70" s="118" t="s">
        <v>378</v>
      </c>
      <c r="I70" s="118" t="s">
        <v>379</v>
      </c>
      <c r="J70" s="118" t="s">
        <v>380</v>
      </c>
      <c r="K70" s="118">
        <v>2009</v>
      </c>
      <c r="L70" s="118" t="s">
        <v>173</v>
      </c>
      <c r="M70" s="118" t="s">
        <v>39</v>
      </c>
      <c r="N70" s="118" t="s">
        <v>381</v>
      </c>
      <c r="O70" s="158" t="s">
        <v>382</v>
      </c>
      <c r="P70" s="168"/>
    </row>
    <row r="71" spans="1:16" s="1" customFormat="1" ht="36" x14ac:dyDescent="0.3">
      <c r="A71" s="116">
        <v>69</v>
      </c>
      <c r="B71" s="152" t="s">
        <v>383</v>
      </c>
      <c r="C71" s="121" t="s">
        <v>384</v>
      </c>
      <c r="D71" s="151" t="s">
        <v>65</v>
      </c>
      <c r="E71" s="132" t="s">
        <v>383</v>
      </c>
      <c r="F71" s="118" t="s">
        <v>20</v>
      </c>
      <c r="G71" s="118" t="s">
        <v>65</v>
      </c>
      <c r="H71" s="118" t="s">
        <v>385</v>
      </c>
      <c r="I71" s="118" t="s">
        <v>23</v>
      </c>
      <c r="J71" s="123" t="s">
        <v>386</v>
      </c>
      <c r="K71" s="118">
        <v>2009</v>
      </c>
      <c r="L71" s="118" t="s">
        <v>24</v>
      </c>
      <c r="M71" s="118" t="s">
        <v>25</v>
      </c>
      <c r="N71" s="118"/>
      <c r="O71" s="158" t="s">
        <v>23</v>
      </c>
      <c r="P71" s="168"/>
    </row>
    <row r="72" spans="1:16" ht="60.75" customHeight="1" x14ac:dyDescent="0.3">
      <c r="A72" s="131">
        <v>70</v>
      </c>
      <c r="B72" s="152" t="s">
        <v>387</v>
      </c>
      <c r="C72" s="121" t="s">
        <v>388</v>
      </c>
      <c r="D72" s="151" t="s">
        <v>65</v>
      </c>
      <c r="E72" s="132" t="s">
        <v>387</v>
      </c>
      <c r="F72" s="118" t="s">
        <v>30</v>
      </c>
      <c r="G72" s="118" t="s">
        <v>65</v>
      </c>
      <c r="H72" s="118" t="s">
        <v>389</v>
      </c>
      <c r="I72" s="118" t="s">
        <v>23</v>
      </c>
      <c r="J72" s="123" t="s">
        <v>390</v>
      </c>
      <c r="K72" s="118">
        <v>2009</v>
      </c>
      <c r="L72" s="118" t="s">
        <v>391</v>
      </c>
      <c r="M72" s="118" t="s">
        <v>39</v>
      </c>
      <c r="N72" s="124" t="s">
        <v>392</v>
      </c>
      <c r="O72" s="159" t="s">
        <v>23</v>
      </c>
      <c r="P72" s="168"/>
    </row>
    <row r="73" spans="1:16" ht="60.75" customHeight="1" x14ac:dyDescent="0.3">
      <c r="A73" s="193">
        <v>71</v>
      </c>
      <c r="B73" s="152" t="s">
        <v>393</v>
      </c>
      <c r="C73" s="121" t="s">
        <v>298</v>
      </c>
      <c r="D73" s="151" t="s">
        <v>65</v>
      </c>
      <c r="E73" s="132" t="s">
        <v>393</v>
      </c>
      <c r="F73" s="118" t="s">
        <v>30</v>
      </c>
      <c r="G73" s="118" t="s">
        <v>65</v>
      </c>
      <c r="H73" s="118" t="s">
        <v>394</v>
      </c>
      <c r="I73" s="118" t="s">
        <v>23</v>
      </c>
      <c r="J73" s="123" t="s">
        <v>395</v>
      </c>
      <c r="K73" s="118">
        <v>2009</v>
      </c>
      <c r="L73" s="118" t="s">
        <v>396</v>
      </c>
      <c r="M73" s="118" t="s">
        <v>39</v>
      </c>
      <c r="N73" s="118" t="s">
        <v>333</v>
      </c>
      <c r="O73" s="159" t="s">
        <v>397</v>
      </c>
      <c r="P73" s="168"/>
    </row>
    <row r="74" spans="1:16" s="59" customFormat="1" ht="54" x14ac:dyDescent="0.3">
      <c r="A74" s="116">
        <v>72</v>
      </c>
      <c r="B74" s="152" t="s">
        <v>398</v>
      </c>
      <c r="C74" s="121" t="s">
        <v>399</v>
      </c>
      <c r="D74" s="151" t="s">
        <v>99</v>
      </c>
      <c r="E74" s="132" t="s">
        <v>398</v>
      </c>
      <c r="F74" s="118" t="s">
        <v>20</v>
      </c>
      <c r="G74" s="118" t="s">
        <v>21</v>
      </c>
      <c r="H74" s="118" t="s">
        <v>400</v>
      </c>
      <c r="I74" s="118" t="s">
        <v>183</v>
      </c>
      <c r="J74" s="118" t="s">
        <v>401</v>
      </c>
      <c r="K74" s="118">
        <v>2010</v>
      </c>
      <c r="L74" s="118" t="s">
        <v>69</v>
      </c>
      <c r="M74" s="118" t="s">
        <v>25</v>
      </c>
      <c r="N74" s="118"/>
      <c r="O74" s="158" t="s">
        <v>23</v>
      </c>
      <c r="P74" s="168"/>
    </row>
    <row r="75" spans="1:16" s="59" customFormat="1" ht="41.4" x14ac:dyDescent="0.3">
      <c r="A75" s="116">
        <v>73</v>
      </c>
      <c r="B75" s="152" t="s">
        <v>402</v>
      </c>
      <c r="C75" s="121" t="s">
        <v>341</v>
      </c>
      <c r="D75" s="151" t="s">
        <v>99</v>
      </c>
      <c r="E75" s="132" t="s">
        <v>402</v>
      </c>
      <c r="F75" s="118" t="s">
        <v>44</v>
      </c>
      <c r="G75" s="118" t="s">
        <v>21</v>
      </c>
      <c r="H75" s="118" t="s">
        <v>403</v>
      </c>
      <c r="I75" s="118" t="s">
        <v>343</v>
      </c>
      <c r="J75" s="118" t="s">
        <v>404</v>
      </c>
      <c r="K75" s="118">
        <v>2010</v>
      </c>
      <c r="L75" s="118" t="s">
        <v>116</v>
      </c>
      <c r="M75" s="118" t="s">
        <v>25</v>
      </c>
      <c r="N75" s="118"/>
      <c r="O75" s="158" t="s">
        <v>405</v>
      </c>
      <c r="P75" s="168"/>
    </row>
    <row r="76" spans="1:16" s="1" customFormat="1" ht="41.4" customHeight="1" x14ac:dyDescent="0.3">
      <c r="A76" s="116">
        <v>74</v>
      </c>
      <c r="B76" s="152" t="s">
        <v>406</v>
      </c>
      <c r="C76" s="121" t="s">
        <v>407</v>
      </c>
      <c r="D76" s="151" t="s">
        <v>408</v>
      </c>
      <c r="E76" s="132" t="s">
        <v>406</v>
      </c>
      <c r="F76" s="118" t="s">
        <v>20</v>
      </c>
      <c r="G76" s="118" t="s">
        <v>21</v>
      </c>
      <c r="H76" s="118" t="s">
        <v>409</v>
      </c>
      <c r="I76" s="118" t="s">
        <v>183</v>
      </c>
      <c r="J76" s="118" t="s">
        <v>404</v>
      </c>
      <c r="K76" s="118">
        <v>2010</v>
      </c>
      <c r="L76" s="118" t="s">
        <v>24</v>
      </c>
      <c r="M76" s="118" t="s">
        <v>25</v>
      </c>
      <c r="N76" s="118"/>
      <c r="O76" s="158" t="s">
        <v>23</v>
      </c>
      <c r="P76" s="168"/>
    </row>
    <row r="77" spans="1:16" s="1" customFormat="1" ht="41.4" x14ac:dyDescent="0.3">
      <c r="A77" s="116">
        <v>75</v>
      </c>
      <c r="B77" s="152" t="s">
        <v>410</v>
      </c>
      <c r="C77" s="121" t="s">
        <v>411</v>
      </c>
      <c r="D77" s="151" t="s">
        <v>99</v>
      </c>
      <c r="E77" s="132" t="s">
        <v>410</v>
      </c>
      <c r="F77" s="118" t="s">
        <v>325</v>
      </c>
      <c r="G77" s="118" t="s">
        <v>58</v>
      </c>
      <c r="H77" s="118" t="s">
        <v>412</v>
      </c>
      <c r="I77" s="118" t="s">
        <v>413</v>
      </c>
      <c r="J77" s="123" t="s">
        <v>414</v>
      </c>
      <c r="K77" s="118">
        <v>2010</v>
      </c>
      <c r="L77" s="118" t="s">
        <v>24</v>
      </c>
      <c r="M77" s="118" t="s">
        <v>25</v>
      </c>
      <c r="N77" s="118"/>
      <c r="O77" s="158" t="s">
        <v>415</v>
      </c>
      <c r="P77" s="168"/>
    </row>
    <row r="78" spans="1:16" ht="41.4" x14ac:dyDescent="0.3">
      <c r="A78" s="190">
        <v>76</v>
      </c>
      <c r="B78" s="152" t="s">
        <v>416</v>
      </c>
      <c r="C78" s="121" t="s">
        <v>417</v>
      </c>
      <c r="D78" s="151" t="s">
        <v>65</v>
      </c>
      <c r="E78" s="132" t="s">
        <v>416</v>
      </c>
      <c r="F78" s="118" t="s">
        <v>325</v>
      </c>
      <c r="G78" s="118" t="s">
        <v>65</v>
      </c>
      <c r="H78" s="118" t="s">
        <v>418</v>
      </c>
      <c r="I78" s="118" t="s">
        <v>67</v>
      </c>
      <c r="J78" s="123" t="s">
        <v>419</v>
      </c>
      <c r="K78" s="118">
        <v>2010</v>
      </c>
      <c r="L78" s="118" t="s">
        <v>420</v>
      </c>
      <c r="M78" s="118" t="s">
        <v>39</v>
      </c>
      <c r="N78" s="118"/>
      <c r="O78" s="159" t="s">
        <v>23</v>
      </c>
      <c r="P78" s="168"/>
    </row>
    <row r="79" spans="1:16" s="1" customFormat="1" ht="27.6" x14ac:dyDescent="0.3">
      <c r="A79" s="116">
        <v>77</v>
      </c>
      <c r="B79" s="152" t="s">
        <v>421</v>
      </c>
      <c r="C79" s="121" t="s">
        <v>422</v>
      </c>
      <c r="D79" s="151" t="s">
        <v>99</v>
      </c>
      <c r="E79" s="132" t="s">
        <v>421</v>
      </c>
      <c r="F79" s="118" t="s">
        <v>20</v>
      </c>
      <c r="G79" s="118" t="s">
        <v>87</v>
      </c>
      <c r="H79" s="118" t="s">
        <v>423</v>
      </c>
      <c r="I79" s="118" t="s">
        <v>424</v>
      </c>
      <c r="J79" s="123" t="s">
        <v>425</v>
      </c>
      <c r="K79" s="118">
        <v>2010</v>
      </c>
      <c r="L79" s="118" t="s">
        <v>90</v>
      </c>
      <c r="M79" s="118" t="s">
        <v>25</v>
      </c>
      <c r="N79" s="118"/>
      <c r="O79" s="158" t="s">
        <v>23</v>
      </c>
      <c r="P79" s="168"/>
    </row>
    <row r="80" spans="1:16" s="1" customFormat="1" ht="36" x14ac:dyDescent="0.3">
      <c r="A80" s="116">
        <v>78</v>
      </c>
      <c r="B80" s="152" t="s">
        <v>426</v>
      </c>
      <c r="C80" s="121" t="s">
        <v>427</v>
      </c>
      <c r="D80" s="151" t="s">
        <v>65</v>
      </c>
      <c r="E80" s="132" t="s">
        <v>426</v>
      </c>
      <c r="F80" s="118" t="s">
        <v>325</v>
      </c>
      <c r="G80" s="118" t="s">
        <v>65</v>
      </c>
      <c r="H80" s="118" t="s">
        <v>428</v>
      </c>
      <c r="I80" s="118" t="s">
        <v>429</v>
      </c>
      <c r="J80" s="123" t="s">
        <v>430</v>
      </c>
      <c r="K80" s="118">
        <v>2010</v>
      </c>
      <c r="L80" s="119" t="s">
        <v>24</v>
      </c>
      <c r="M80" s="119" t="s">
        <v>25</v>
      </c>
      <c r="N80" s="118"/>
      <c r="O80" s="158" t="s">
        <v>23</v>
      </c>
      <c r="P80" s="168"/>
    </row>
    <row r="81" spans="1:16" ht="74.25" customHeight="1" x14ac:dyDescent="0.3">
      <c r="A81" s="193">
        <v>79</v>
      </c>
      <c r="B81" s="152" t="s">
        <v>431</v>
      </c>
      <c r="C81" s="121" t="s">
        <v>432</v>
      </c>
      <c r="D81" s="151" t="s">
        <v>318</v>
      </c>
      <c r="E81" s="132" t="s">
        <v>431</v>
      </c>
      <c r="F81" s="118" t="s">
        <v>30</v>
      </c>
      <c r="G81" s="118" t="s">
        <v>58</v>
      </c>
      <c r="H81" s="118" t="s">
        <v>433</v>
      </c>
      <c r="I81" s="118" t="s">
        <v>23</v>
      </c>
      <c r="J81" s="123" t="s">
        <v>434</v>
      </c>
      <c r="K81" s="118">
        <v>2010</v>
      </c>
      <c r="L81" s="119" t="s">
        <v>435</v>
      </c>
      <c r="M81" s="119" t="s">
        <v>39</v>
      </c>
      <c r="N81" s="118" t="s">
        <v>333</v>
      </c>
      <c r="O81" s="158" t="s">
        <v>436</v>
      </c>
      <c r="P81" s="168"/>
    </row>
    <row r="82" spans="1:16" ht="74.25" customHeight="1" x14ac:dyDescent="0.3">
      <c r="A82" s="193">
        <v>80</v>
      </c>
      <c r="B82" s="152" t="s">
        <v>437</v>
      </c>
      <c r="C82" s="121" t="s">
        <v>432</v>
      </c>
      <c r="D82" s="151" t="s">
        <v>318</v>
      </c>
      <c r="E82" s="132" t="s">
        <v>437</v>
      </c>
      <c r="F82" s="118" t="s">
        <v>30</v>
      </c>
      <c r="G82" s="118" t="s">
        <v>58</v>
      </c>
      <c r="H82" s="118" t="s">
        <v>438</v>
      </c>
      <c r="I82" s="118" t="s">
        <v>23</v>
      </c>
      <c r="J82" s="123" t="s">
        <v>434</v>
      </c>
      <c r="K82" s="118">
        <v>2010</v>
      </c>
      <c r="L82" s="119" t="s">
        <v>435</v>
      </c>
      <c r="M82" s="119" t="s">
        <v>39</v>
      </c>
      <c r="N82" s="118" t="s">
        <v>333</v>
      </c>
      <c r="O82" s="158" t="s">
        <v>439</v>
      </c>
      <c r="P82" s="168"/>
    </row>
    <row r="83" spans="1:16" ht="74.25" customHeight="1" x14ac:dyDescent="0.3">
      <c r="A83" s="193">
        <v>81</v>
      </c>
      <c r="B83" s="152" t="s">
        <v>440</v>
      </c>
      <c r="C83" s="121" t="s">
        <v>441</v>
      </c>
      <c r="D83" s="151" t="s">
        <v>65</v>
      </c>
      <c r="E83" s="132" t="s">
        <v>440</v>
      </c>
      <c r="F83" s="118" t="s">
        <v>44</v>
      </c>
      <c r="G83" s="118" t="s">
        <v>65</v>
      </c>
      <c r="H83" s="118" t="s">
        <v>442</v>
      </c>
      <c r="I83" s="118" t="s">
        <v>23</v>
      </c>
      <c r="J83" s="123" t="s">
        <v>443</v>
      </c>
      <c r="K83" s="118">
        <v>2010</v>
      </c>
      <c r="L83" s="119" t="s">
        <v>396</v>
      </c>
      <c r="M83" s="119" t="s">
        <v>39</v>
      </c>
      <c r="N83" s="118" t="s">
        <v>333</v>
      </c>
      <c r="O83" s="158" t="s">
        <v>444</v>
      </c>
      <c r="P83" s="168"/>
    </row>
    <row r="84" spans="1:16" ht="41.4" x14ac:dyDescent="0.3">
      <c r="A84" s="190">
        <v>82</v>
      </c>
      <c r="B84" s="152" t="s">
        <v>445</v>
      </c>
      <c r="C84" s="121" t="s">
        <v>446</v>
      </c>
      <c r="D84" s="151" t="s">
        <v>447</v>
      </c>
      <c r="E84" s="132" t="s">
        <v>445</v>
      </c>
      <c r="F84" s="118" t="s">
        <v>20</v>
      </c>
      <c r="G84" s="118" t="s">
        <v>21</v>
      </c>
      <c r="H84" s="118" t="s">
        <v>448</v>
      </c>
      <c r="I84" s="118" t="s">
        <v>379</v>
      </c>
      <c r="J84" s="123" t="s">
        <v>449</v>
      </c>
      <c r="K84" s="118">
        <v>2011</v>
      </c>
      <c r="L84" s="118" t="s">
        <v>54</v>
      </c>
      <c r="M84" s="118" t="s">
        <v>39</v>
      </c>
      <c r="N84" s="118"/>
      <c r="O84" s="158" t="s">
        <v>382</v>
      </c>
      <c r="P84" s="168"/>
    </row>
    <row r="85" spans="1:16" ht="45.6" customHeight="1" x14ac:dyDescent="0.3">
      <c r="A85" s="190">
        <v>83</v>
      </c>
      <c r="B85" s="152" t="s">
        <v>450</v>
      </c>
      <c r="C85" s="121" t="s">
        <v>451</v>
      </c>
      <c r="D85" s="151" t="s">
        <v>99</v>
      </c>
      <c r="E85" s="132" t="s">
        <v>450</v>
      </c>
      <c r="F85" s="118" t="s">
        <v>44</v>
      </c>
      <c r="G85" s="118" t="s">
        <v>21</v>
      </c>
      <c r="H85" s="118" t="s">
        <v>452</v>
      </c>
      <c r="I85" s="118" t="s">
        <v>453</v>
      </c>
      <c r="J85" s="128" t="s">
        <v>454</v>
      </c>
      <c r="K85" s="128">
        <v>2011</v>
      </c>
      <c r="L85" s="119" t="s">
        <v>396</v>
      </c>
      <c r="M85" s="118" t="s">
        <v>39</v>
      </c>
      <c r="N85" s="118"/>
      <c r="O85" s="158" t="s">
        <v>455</v>
      </c>
      <c r="P85" s="168"/>
    </row>
    <row r="86" spans="1:16" ht="73.5" customHeight="1" x14ac:dyDescent="0.3">
      <c r="A86" s="190">
        <v>84</v>
      </c>
      <c r="B86" s="152" t="s">
        <v>456</v>
      </c>
      <c r="C86" s="121" t="s">
        <v>457</v>
      </c>
      <c r="D86" s="151" t="s">
        <v>43</v>
      </c>
      <c r="E86" s="132" t="s">
        <v>456</v>
      </c>
      <c r="F86" s="118" t="s">
        <v>325</v>
      </c>
      <c r="G86" s="118" t="s">
        <v>21</v>
      </c>
      <c r="H86" s="118" t="s">
        <v>458</v>
      </c>
      <c r="I86" s="118" t="s">
        <v>226</v>
      </c>
      <c r="J86" s="118" t="s">
        <v>459</v>
      </c>
      <c r="K86" s="118">
        <v>2011</v>
      </c>
      <c r="L86" s="118" t="s">
        <v>281</v>
      </c>
      <c r="M86" s="118" t="s">
        <v>39</v>
      </c>
      <c r="N86" s="118" t="s">
        <v>460</v>
      </c>
      <c r="O86" s="159" t="s">
        <v>23</v>
      </c>
      <c r="P86" s="168"/>
    </row>
    <row r="87" spans="1:16" ht="72" x14ac:dyDescent="0.3">
      <c r="A87" s="191">
        <v>85</v>
      </c>
      <c r="B87" s="152" t="s">
        <v>461</v>
      </c>
      <c r="C87" s="121" t="s">
        <v>462</v>
      </c>
      <c r="D87" s="151" t="s">
        <v>202</v>
      </c>
      <c r="E87" s="132" t="s">
        <v>461</v>
      </c>
      <c r="F87" s="118" t="s">
        <v>30</v>
      </c>
      <c r="G87" s="118" t="s">
        <v>21</v>
      </c>
      <c r="H87" s="118" t="s">
        <v>463</v>
      </c>
      <c r="I87" s="118" t="s">
        <v>105</v>
      </c>
      <c r="J87" s="118" t="s">
        <v>464</v>
      </c>
      <c r="K87" s="118">
        <v>2011</v>
      </c>
      <c r="L87" s="118" t="s">
        <v>159</v>
      </c>
      <c r="M87" s="118" t="s">
        <v>39</v>
      </c>
      <c r="N87" s="124" t="s">
        <v>465</v>
      </c>
      <c r="O87" s="158" t="s">
        <v>466</v>
      </c>
      <c r="P87" s="168"/>
    </row>
    <row r="88" spans="1:16" ht="72" x14ac:dyDescent="0.3">
      <c r="A88" s="129">
        <v>86</v>
      </c>
      <c r="B88" s="152" t="s">
        <v>467</v>
      </c>
      <c r="C88" s="121" t="s">
        <v>468</v>
      </c>
      <c r="D88" s="151" t="s">
        <v>202</v>
      </c>
      <c r="E88" s="132" t="s">
        <v>467</v>
      </c>
      <c r="F88" s="118" t="s">
        <v>30</v>
      </c>
      <c r="G88" s="118" t="s">
        <v>469</v>
      </c>
      <c r="H88" s="118" t="s">
        <v>470</v>
      </c>
      <c r="I88" s="118" t="s">
        <v>471</v>
      </c>
      <c r="J88" s="123" t="s">
        <v>472</v>
      </c>
      <c r="K88" s="118">
        <v>2011</v>
      </c>
      <c r="L88" s="118" t="s">
        <v>473</v>
      </c>
      <c r="M88" s="118" t="s">
        <v>39</v>
      </c>
      <c r="N88" s="118"/>
      <c r="O88" s="159" t="s">
        <v>23</v>
      </c>
      <c r="P88" s="168"/>
    </row>
    <row r="89" spans="1:16" ht="55.2" x14ac:dyDescent="0.3">
      <c r="A89" s="190">
        <v>87</v>
      </c>
      <c r="B89" s="152" t="s">
        <v>474</v>
      </c>
      <c r="C89" s="121" t="s">
        <v>475</v>
      </c>
      <c r="D89" s="151" t="s">
        <v>99</v>
      </c>
      <c r="E89" s="132" t="s">
        <v>474</v>
      </c>
      <c r="F89" s="118" t="s">
        <v>44</v>
      </c>
      <c r="G89" s="118" t="s">
        <v>21</v>
      </c>
      <c r="H89" s="118" t="s">
        <v>476</v>
      </c>
      <c r="I89" s="128" t="s">
        <v>305</v>
      </c>
      <c r="J89" s="123" t="s">
        <v>477</v>
      </c>
      <c r="K89" s="118">
        <v>2011</v>
      </c>
      <c r="L89" s="118" t="s">
        <v>54</v>
      </c>
      <c r="M89" s="118" t="s">
        <v>39</v>
      </c>
      <c r="N89" s="118"/>
      <c r="O89" s="159" t="s">
        <v>23</v>
      </c>
      <c r="P89" s="168"/>
    </row>
    <row r="90" spans="1:16" ht="27.6" x14ac:dyDescent="0.3">
      <c r="A90" s="190">
        <v>88</v>
      </c>
      <c r="B90" s="152" t="s">
        <v>478</v>
      </c>
      <c r="C90" s="121" t="s">
        <v>479</v>
      </c>
      <c r="D90" s="151" t="s">
        <v>86</v>
      </c>
      <c r="E90" s="132" t="s">
        <v>478</v>
      </c>
      <c r="F90" s="118" t="s">
        <v>20</v>
      </c>
      <c r="G90" s="118" t="s">
        <v>171</v>
      </c>
      <c r="H90" s="118" t="s">
        <v>480</v>
      </c>
      <c r="I90" s="118" t="s">
        <v>481</v>
      </c>
      <c r="J90" s="123" t="s">
        <v>482</v>
      </c>
      <c r="K90" s="118">
        <v>2011</v>
      </c>
      <c r="L90" s="118" t="s">
        <v>159</v>
      </c>
      <c r="M90" s="118" t="s">
        <v>39</v>
      </c>
      <c r="N90" s="118"/>
      <c r="O90" s="158" t="s">
        <v>483</v>
      </c>
      <c r="P90" s="168"/>
    </row>
    <row r="91" spans="1:16" s="1" customFormat="1" ht="27.6" x14ac:dyDescent="0.3">
      <c r="A91" s="129">
        <v>89</v>
      </c>
      <c r="B91" s="152" t="s">
        <v>484</v>
      </c>
      <c r="C91" s="121" t="s">
        <v>485</v>
      </c>
      <c r="D91" s="151" t="s">
        <v>99</v>
      </c>
      <c r="E91" s="132" t="s">
        <v>484</v>
      </c>
      <c r="F91" s="118" t="s">
        <v>20</v>
      </c>
      <c r="G91" s="118" t="s">
        <v>21</v>
      </c>
      <c r="H91" s="118" t="s">
        <v>486</v>
      </c>
      <c r="I91" s="118" t="s">
        <v>487</v>
      </c>
      <c r="J91" s="123" t="s">
        <v>488</v>
      </c>
      <c r="K91" s="118">
        <v>2011</v>
      </c>
      <c r="L91" s="118" t="s">
        <v>38</v>
      </c>
      <c r="M91" s="118" t="s">
        <v>39</v>
      </c>
      <c r="N91" s="118"/>
      <c r="O91" s="159" t="s">
        <v>23</v>
      </c>
      <c r="P91" s="168"/>
    </row>
    <row r="92" spans="1:16" ht="41.4" x14ac:dyDescent="0.3">
      <c r="A92" s="190">
        <v>90</v>
      </c>
      <c r="B92" s="152" t="s">
        <v>489</v>
      </c>
      <c r="C92" s="121" t="s">
        <v>490</v>
      </c>
      <c r="D92" s="151" t="s">
        <v>65</v>
      </c>
      <c r="E92" s="132" t="s">
        <v>489</v>
      </c>
      <c r="F92" s="118" t="s">
        <v>20</v>
      </c>
      <c r="G92" s="118" t="s">
        <v>65</v>
      </c>
      <c r="H92" s="118" t="s">
        <v>491</v>
      </c>
      <c r="I92" s="118" t="s">
        <v>492</v>
      </c>
      <c r="J92" s="123" t="s">
        <v>493</v>
      </c>
      <c r="K92" s="118">
        <v>2011</v>
      </c>
      <c r="L92" s="118" t="s">
        <v>167</v>
      </c>
      <c r="M92" s="118" t="s">
        <v>39</v>
      </c>
      <c r="N92" s="118"/>
      <c r="O92" s="158" t="s">
        <v>494</v>
      </c>
      <c r="P92" s="168"/>
    </row>
    <row r="93" spans="1:16" s="1" customFormat="1" ht="76.95" customHeight="1" x14ac:dyDescent="0.3">
      <c r="A93" s="195">
        <v>91</v>
      </c>
      <c r="B93" s="152" t="s">
        <v>495</v>
      </c>
      <c r="C93" s="121" t="s">
        <v>496</v>
      </c>
      <c r="D93" s="151" t="s">
        <v>65</v>
      </c>
      <c r="E93" s="132" t="s">
        <v>495</v>
      </c>
      <c r="F93" s="118" t="s">
        <v>30</v>
      </c>
      <c r="G93" s="118" t="s">
        <v>65</v>
      </c>
      <c r="H93" s="118" t="s">
        <v>497</v>
      </c>
      <c r="I93" s="118" t="s">
        <v>305</v>
      </c>
      <c r="J93" s="123" t="s">
        <v>498</v>
      </c>
      <c r="K93" s="118">
        <v>2011</v>
      </c>
      <c r="L93" s="118" t="s">
        <v>61</v>
      </c>
      <c r="M93" s="118" t="s">
        <v>39</v>
      </c>
      <c r="N93" s="120" t="s">
        <v>499</v>
      </c>
      <c r="O93" s="159" t="s">
        <v>23</v>
      </c>
      <c r="P93" s="168"/>
    </row>
    <row r="94" spans="1:16" s="1" customFormat="1" ht="59.4" customHeight="1" x14ac:dyDescent="0.3">
      <c r="A94" s="190">
        <v>92</v>
      </c>
      <c r="B94" s="152" t="s">
        <v>500</v>
      </c>
      <c r="C94" s="121" t="s">
        <v>293</v>
      </c>
      <c r="D94" s="151" t="s">
        <v>65</v>
      </c>
      <c r="E94" s="132" t="s">
        <v>500</v>
      </c>
      <c r="F94" s="118" t="s">
        <v>20</v>
      </c>
      <c r="G94" s="118" t="s">
        <v>65</v>
      </c>
      <c r="H94" s="118" t="s">
        <v>501</v>
      </c>
      <c r="I94" s="118" t="s">
        <v>502</v>
      </c>
      <c r="J94" s="123" t="s">
        <v>503</v>
      </c>
      <c r="K94" s="118">
        <v>2011</v>
      </c>
      <c r="L94" s="118" t="s">
        <v>54</v>
      </c>
      <c r="M94" s="118" t="s">
        <v>39</v>
      </c>
      <c r="N94" s="118"/>
      <c r="O94" s="159" t="s">
        <v>23</v>
      </c>
      <c r="P94" s="168"/>
    </row>
    <row r="95" spans="1:16" s="1" customFormat="1" ht="41.4" x14ac:dyDescent="0.3">
      <c r="A95" s="116">
        <v>93</v>
      </c>
      <c r="B95" s="152" t="s">
        <v>504</v>
      </c>
      <c r="C95" s="121" t="s">
        <v>505</v>
      </c>
      <c r="D95" s="151" t="s">
        <v>202</v>
      </c>
      <c r="E95" s="132" t="s">
        <v>504</v>
      </c>
      <c r="F95" s="118" t="s">
        <v>20</v>
      </c>
      <c r="G95" s="118" t="s">
        <v>203</v>
      </c>
      <c r="H95" s="118" t="s">
        <v>506</v>
      </c>
      <c r="I95" s="118" t="s">
        <v>305</v>
      </c>
      <c r="J95" s="123" t="s">
        <v>507</v>
      </c>
      <c r="K95" s="118">
        <v>2011</v>
      </c>
      <c r="L95" s="118" t="s">
        <v>508</v>
      </c>
      <c r="M95" s="118" t="s">
        <v>25</v>
      </c>
      <c r="N95" s="118"/>
      <c r="O95" s="158" t="s">
        <v>23</v>
      </c>
      <c r="P95" s="168"/>
    </row>
    <row r="96" spans="1:16" ht="27.6" x14ac:dyDescent="0.3">
      <c r="A96" s="129">
        <v>94</v>
      </c>
      <c r="B96" s="152" t="s">
        <v>509</v>
      </c>
      <c r="C96" s="121" t="s">
        <v>229</v>
      </c>
      <c r="D96" s="151" t="s">
        <v>230</v>
      </c>
      <c r="E96" s="132" t="s">
        <v>509</v>
      </c>
      <c r="F96" s="118" t="s">
        <v>510</v>
      </c>
      <c r="G96" s="118" t="s">
        <v>58</v>
      </c>
      <c r="H96" s="118" t="s">
        <v>511</v>
      </c>
      <c r="I96" s="118" t="s">
        <v>512</v>
      </c>
      <c r="J96" s="123" t="s">
        <v>513</v>
      </c>
      <c r="K96" s="118">
        <v>2011</v>
      </c>
      <c r="L96" s="118" t="s">
        <v>199</v>
      </c>
      <c r="M96" s="118" t="s">
        <v>39</v>
      </c>
      <c r="N96" s="118"/>
      <c r="O96" s="159" t="s">
        <v>23</v>
      </c>
      <c r="P96" s="168"/>
    </row>
    <row r="97" spans="1:16" ht="27.6" x14ac:dyDescent="0.3">
      <c r="A97" s="190">
        <v>95</v>
      </c>
      <c r="B97" s="152" t="s">
        <v>514</v>
      </c>
      <c r="C97" s="121" t="s">
        <v>515</v>
      </c>
      <c r="D97" s="151" t="s">
        <v>86</v>
      </c>
      <c r="E97" s="132" t="s">
        <v>514</v>
      </c>
      <c r="F97" s="118" t="s">
        <v>30</v>
      </c>
      <c r="G97" s="118" t="s">
        <v>21</v>
      </c>
      <c r="H97" s="118" t="s">
        <v>516</v>
      </c>
      <c r="I97" s="118" t="s">
        <v>517</v>
      </c>
      <c r="J97" s="123" t="s">
        <v>518</v>
      </c>
      <c r="K97" s="118">
        <v>2011</v>
      </c>
      <c r="L97" s="118" t="s">
        <v>519</v>
      </c>
      <c r="M97" s="118" t="s">
        <v>39</v>
      </c>
      <c r="N97" s="118"/>
      <c r="O97" s="159" t="s">
        <v>23</v>
      </c>
      <c r="P97" s="168"/>
    </row>
    <row r="98" spans="1:16" s="1" customFormat="1" ht="41.4" x14ac:dyDescent="0.3">
      <c r="A98" s="116">
        <v>96</v>
      </c>
      <c r="B98" s="152" t="s">
        <v>520</v>
      </c>
      <c r="C98" s="121" t="s">
        <v>521</v>
      </c>
      <c r="D98" s="151" t="s">
        <v>202</v>
      </c>
      <c r="E98" s="132" t="s">
        <v>520</v>
      </c>
      <c r="F98" s="118" t="s">
        <v>20</v>
      </c>
      <c r="G98" s="118" t="s">
        <v>203</v>
      </c>
      <c r="H98" s="118" t="s">
        <v>522</v>
      </c>
      <c r="I98" s="118" t="s">
        <v>183</v>
      </c>
      <c r="J98" s="123" t="s">
        <v>523</v>
      </c>
      <c r="K98" s="118">
        <v>2011</v>
      </c>
      <c r="L98" s="119" t="s">
        <v>24</v>
      </c>
      <c r="M98" s="118" t="s">
        <v>25</v>
      </c>
      <c r="N98" s="120" t="s">
        <v>524</v>
      </c>
      <c r="O98" s="158" t="s">
        <v>23</v>
      </c>
      <c r="P98" s="168" t="s">
        <v>525</v>
      </c>
    </row>
    <row r="99" spans="1:16" ht="54" x14ac:dyDescent="0.3">
      <c r="A99" s="190">
        <v>97</v>
      </c>
      <c r="B99" s="152" t="s">
        <v>526</v>
      </c>
      <c r="C99" s="121" t="s">
        <v>527</v>
      </c>
      <c r="D99" s="151" t="s">
        <v>43</v>
      </c>
      <c r="E99" s="132" t="s">
        <v>526</v>
      </c>
      <c r="F99" s="118" t="s">
        <v>20</v>
      </c>
      <c r="G99" s="118" t="s">
        <v>21</v>
      </c>
      <c r="H99" s="118" t="s">
        <v>528</v>
      </c>
      <c r="I99" s="128" t="s">
        <v>23</v>
      </c>
      <c r="J99" s="118" t="s">
        <v>529</v>
      </c>
      <c r="K99" s="118">
        <v>2011</v>
      </c>
      <c r="L99" s="118" t="s">
        <v>54</v>
      </c>
      <c r="M99" s="118" t="s">
        <v>39</v>
      </c>
      <c r="N99" s="118"/>
      <c r="O99" s="159" t="s">
        <v>23</v>
      </c>
      <c r="P99" s="168"/>
    </row>
    <row r="100" spans="1:16" ht="41.4" x14ac:dyDescent="0.3">
      <c r="A100" s="131">
        <v>98</v>
      </c>
      <c r="B100" s="152" t="s">
        <v>530</v>
      </c>
      <c r="C100" s="121" t="s">
        <v>531</v>
      </c>
      <c r="D100" s="151" t="s">
        <v>86</v>
      </c>
      <c r="E100" s="132" t="s">
        <v>530</v>
      </c>
      <c r="F100" s="118" t="s">
        <v>30</v>
      </c>
      <c r="G100" s="118" t="s">
        <v>58</v>
      </c>
      <c r="H100" s="118" t="s">
        <v>532</v>
      </c>
      <c r="I100" s="118" t="s">
        <v>471</v>
      </c>
      <c r="J100" s="118" t="s">
        <v>533</v>
      </c>
      <c r="K100" s="118">
        <v>2011</v>
      </c>
      <c r="L100" s="118" t="s">
        <v>534</v>
      </c>
      <c r="M100" s="118" t="s">
        <v>39</v>
      </c>
      <c r="N100" s="118" t="s">
        <v>333</v>
      </c>
      <c r="O100" s="159" t="s">
        <v>535</v>
      </c>
      <c r="P100" s="168"/>
    </row>
    <row r="101" spans="1:16" ht="21" x14ac:dyDescent="0.3">
      <c r="A101" s="193">
        <v>99</v>
      </c>
      <c r="B101" s="152" t="s">
        <v>536</v>
      </c>
      <c r="C101" s="121" t="s">
        <v>210</v>
      </c>
      <c r="D101" s="151" t="s">
        <v>43</v>
      </c>
      <c r="E101" s="132" t="s">
        <v>536</v>
      </c>
      <c r="F101" s="118" t="s">
        <v>44</v>
      </c>
      <c r="G101" s="118" t="s">
        <v>21</v>
      </c>
      <c r="H101" s="118" t="s">
        <v>537</v>
      </c>
      <c r="I101" s="118" t="s">
        <v>538</v>
      </c>
      <c r="J101" s="118" t="s">
        <v>539</v>
      </c>
      <c r="K101" s="118">
        <v>2011</v>
      </c>
      <c r="L101" s="118" t="s">
        <v>540</v>
      </c>
      <c r="M101" s="118" t="s">
        <v>39</v>
      </c>
      <c r="N101" s="118" t="s">
        <v>333</v>
      </c>
      <c r="O101" s="158" t="s">
        <v>541</v>
      </c>
      <c r="P101" s="168" t="s">
        <v>542</v>
      </c>
    </row>
    <row r="102" spans="1:16" s="1" customFormat="1" ht="41.4" x14ac:dyDescent="0.3">
      <c r="A102" s="116">
        <v>100</v>
      </c>
      <c r="B102" s="152" t="s">
        <v>543</v>
      </c>
      <c r="C102" s="121" t="s">
        <v>544</v>
      </c>
      <c r="D102" s="151" t="s">
        <v>65</v>
      </c>
      <c r="E102" s="132" t="s">
        <v>543</v>
      </c>
      <c r="F102" s="118" t="s">
        <v>20</v>
      </c>
      <c r="G102" s="118" t="s">
        <v>65</v>
      </c>
      <c r="H102" s="118" t="s">
        <v>37</v>
      </c>
      <c r="I102" s="118" t="s">
        <v>23</v>
      </c>
      <c r="J102" s="118" t="s">
        <v>545</v>
      </c>
      <c r="K102" s="118">
        <v>2011</v>
      </c>
      <c r="L102" s="119" t="s">
        <v>24</v>
      </c>
      <c r="M102" s="118" t="s">
        <v>25</v>
      </c>
      <c r="N102" s="118" t="s">
        <v>333</v>
      </c>
      <c r="O102" s="158" t="s">
        <v>546</v>
      </c>
      <c r="P102" s="168"/>
    </row>
    <row r="103" spans="1:16" s="1" customFormat="1" ht="27.6" x14ac:dyDescent="0.3">
      <c r="A103" s="116">
        <v>101</v>
      </c>
      <c r="B103" s="152" t="s">
        <v>547</v>
      </c>
      <c r="C103" s="121" t="s">
        <v>548</v>
      </c>
      <c r="D103" s="151" t="s">
        <v>57</v>
      </c>
      <c r="E103" s="132" t="s">
        <v>547</v>
      </c>
      <c r="F103" s="118" t="s">
        <v>325</v>
      </c>
      <c r="G103" s="118" t="s">
        <v>21</v>
      </c>
      <c r="H103" s="118" t="s">
        <v>549</v>
      </c>
      <c r="I103" s="118" t="s">
        <v>550</v>
      </c>
      <c r="J103" s="118" t="s">
        <v>551</v>
      </c>
      <c r="K103" s="118">
        <v>2012</v>
      </c>
      <c r="L103" s="118" t="s">
        <v>193</v>
      </c>
      <c r="M103" s="118" t="s">
        <v>25</v>
      </c>
      <c r="N103" s="118" t="s">
        <v>552</v>
      </c>
      <c r="O103" s="158" t="s">
        <v>23</v>
      </c>
      <c r="P103" s="168"/>
    </row>
    <row r="104" spans="1:16" s="1" customFormat="1" ht="27.6" x14ac:dyDescent="0.3">
      <c r="A104" s="116">
        <v>102</v>
      </c>
      <c r="B104" s="152" t="s">
        <v>553</v>
      </c>
      <c r="C104" s="121" t="s">
        <v>220</v>
      </c>
      <c r="D104" s="151" t="s">
        <v>51</v>
      </c>
      <c r="E104" s="132" t="s">
        <v>553</v>
      </c>
      <c r="F104" s="118" t="s">
        <v>20</v>
      </c>
      <c r="G104" s="118" t="s">
        <v>21</v>
      </c>
      <c r="H104" s="118" t="s">
        <v>554</v>
      </c>
      <c r="I104" s="118" t="s">
        <v>555</v>
      </c>
      <c r="J104" s="118" t="s">
        <v>556</v>
      </c>
      <c r="K104" s="118">
        <v>2012</v>
      </c>
      <c r="L104" s="118" t="s">
        <v>69</v>
      </c>
      <c r="M104" s="118" t="s">
        <v>25</v>
      </c>
      <c r="N104" s="118"/>
      <c r="O104" s="158" t="s">
        <v>23</v>
      </c>
      <c r="P104" s="168" t="s">
        <v>557</v>
      </c>
    </row>
    <row r="105" spans="1:16" s="1" customFormat="1" ht="27.6" x14ac:dyDescent="0.3">
      <c r="A105" s="116">
        <v>103</v>
      </c>
      <c r="B105" s="152" t="s">
        <v>558</v>
      </c>
      <c r="C105" s="121" t="s">
        <v>559</v>
      </c>
      <c r="D105" s="151" t="s">
        <v>73</v>
      </c>
      <c r="E105" s="132" t="s">
        <v>558</v>
      </c>
      <c r="F105" s="118" t="s">
        <v>20</v>
      </c>
      <c r="G105" s="118" t="s">
        <v>21</v>
      </c>
      <c r="H105" s="118" t="s">
        <v>560</v>
      </c>
      <c r="I105" s="118" t="s">
        <v>305</v>
      </c>
      <c r="J105" s="118" t="s">
        <v>561</v>
      </c>
      <c r="K105" s="118">
        <v>2012</v>
      </c>
      <c r="L105" s="119" t="s">
        <v>24</v>
      </c>
      <c r="M105" s="118" t="s">
        <v>25</v>
      </c>
      <c r="N105" s="118"/>
      <c r="O105" s="158" t="s">
        <v>23</v>
      </c>
      <c r="P105" s="168"/>
    </row>
    <row r="106" spans="1:16" ht="69" x14ac:dyDescent="0.3">
      <c r="A106" s="191">
        <v>104</v>
      </c>
      <c r="B106" s="152" t="s">
        <v>562</v>
      </c>
      <c r="C106" s="121" t="s">
        <v>563</v>
      </c>
      <c r="D106" s="151" t="s">
        <v>564</v>
      </c>
      <c r="E106" s="132" t="s">
        <v>562</v>
      </c>
      <c r="F106" s="118" t="s">
        <v>30</v>
      </c>
      <c r="G106" s="118" t="s">
        <v>21</v>
      </c>
      <c r="H106" s="118" t="s">
        <v>565</v>
      </c>
      <c r="I106" s="118" t="s">
        <v>566</v>
      </c>
      <c r="J106" s="128" t="s">
        <v>567</v>
      </c>
      <c r="K106" s="128">
        <v>2012</v>
      </c>
      <c r="L106" s="128" t="s">
        <v>54</v>
      </c>
      <c r="M106" s="118" t="s">
        <v>39</v>
      </c>
      <c r="N106" s="124" t="s">
        <v>568</v>
      </c>
      <c r="O106" s="158" t="s">
        <v>569</v>
      </c>
      <c r="P106" s="168"/>
    </row>
    <row r="107" spans="1:16" ht="27.6" x14ac:dyDescent="0.3">
      <c r="A107" s="190">
        <v>105</v>
      </c>
      <c r="B107" s="152" t="s">
        <v>570</v>
      </c>
      <c r="C107" s="121" t="s">
        <v>571</v>
      </c>
      <c r="D107" s="151" t="s">
        <v>564</v>
      </c>
      <c r="E107" s="132" t="s">
        <v>570</v>
      </c>
      <c r="F107" s="118" t="s">
        <v>30</v>
      </c>
      <c r="G107" s="118" t="s">
        <v>21</v>
      </c>
      <c r="H107" s="118" t="s">
        <v>572</v>
      </c>
      <c r="I107" s="118" t="s">
        <v>566</v>
      </c>
      <c r="J107" s="118" t="s">
        <v>573</v>
      </c>
      <c r="K107" s="118">
        <v>2012</v>
      </c>
      <c r="L107" s="118" t="s">
        <v>54</v>
      </c>
      <c r="M107" s="118" t="s">
        <v>39</v>
      </c>
      <c r="N107" s="118"/>
      <c r="O107" s="159" t="s">
        <v>23</v>
      </c>
      <c r="P107" s="168"/>
    </row>
    <row r="108" spans="1:16" s="1" customFormat="1" ht="41.4" x14ac:dyDescent="0.3">
      <c r="A108" s="116">
        <v>106</v>
      </c>
      <c r="B108" s="152" t="s">
        <v>574</v>
      </c>
      <c r="C108" s="121" t="s">
        <v>575</v>
      </c>
      <c r="D108" s="151" t="s">
        <v>65</v>
      </c>
      <c r="E108" s="132" t="s">
        <v>574</v>
      </c>
      <c r="F108" s="118" t="s">
        <v>20</v>
      </c>
      <c r="G108" s="118" t="s">
        <v>65</v>
      </c>
      <c r="H108" s="118" t="s">
        <v>576</v>
      </c>
      <c r="I108" s="118" t="s">
        <v>183</v>
      </c>
      <c r="J108" s="118" t="s">
        <v>577</v>
      </c>
      <c r="K108" s="118">
        <v>2012</v>
      </c>
      <c r="L108" s="118" t="s">
        <v>24</v>
      </c>
      <c r="M108" s="118" t="s">
        <v>25</v>
      </c>
      <c r="N108" s="124" t="s">
        <v>578</v>
      </c>
      <c r="O108" s="158" t="s">
        <v>579</v>
      </c>
      <c r="P108" s="168" t="s">
        <v>580</v>
      </c>
    </row>
    <row r="109" spans="1:16" ht="69" x14ac:dyDescent="0.3">
      <c r="A109" s="191">
        <v>107</v>
      </c>
      <c r="B109" s="152" t="s">
        <v>581</v>
      </c>
      <c r="C109" s="121" t="s">
        <v>582</v>
      </c>
      <c r="D109" s="151" t="s">
        <v>129</v>
      </c>
      <c r="E109" s="132" t="s">
        <v>581</v>
      </c>
      <c r="F109" s="118" t="s">
        <v>20</v>
      </c>
      <c r="G109" s="118" t="s">
        <v>21</v>
      </c>
      <c r="H109" s="118" t="s">
        <v>583</v>
      </c>
      <c r="I109" s="118" t="s">
        <v>512</v>
      </c>
      <c r="J109" s="118" t="s">
        <v>584</v>
      </c>
      <c r="K109" s="118">
        <v>2012</v>
      </c>
      <c r="L109" s="118" t="s">
        <v>54</v>
      </c>
      <c r="M109" s="118" t="s">
        <v>39</v>
      </c>
      <c r="N109" s="124" t="s">
        <v>585</v>
      </c>
      <c r="O109" s="158" t="s">
        <v>586</v>
      </c>
      <c r="P109" s="168" t="s">
        <v>587</v>
      </c>
    </row>
    <row r="110" spans="1:16" ht="36" x14ac:dyDescent="0.3">
      <c r="A110" s="129">
        <v>108</v>
      </c>
      <c r="B110" s="152" t="s">
        <v>588</v>
      </c>
      <c r="C110" s="121" t="s">
        <v>589</v>
      </c>
      <c r="D110" s="151" t="s">
        <v>99</v>
      </c>
      <c r="E110" s="132" t="s">
        <v>588</v>
      </c>
      <c r="F110" s="118" t="s">
        <v>20</v>
      </c>
      <c r="G110" s="118" t="s">
        <v>21</v>
      </c>
      <c r="H110" s="118" t="s">
        <v>590</v>
      </c>
      <c r="I110" s="118" t="s">
        <v>46</v>
      </c>
      <c r="J110" s="118" t="s">
        <v>591</v>
      </c>
      <c r="K110" s="118">
        <v>2012</v>
      </c>
      <c r="L110" s="118" t="s">
        <v>38</v>
      </c>
      <c r="M110" s="118" t="s">
        <v>39</v>
      </c>
      <c r="N110" s="118"/>
      <c r="O110" s="159" t="s">
        <v>23</v>
      </c>
      <c r="P110" s="168"/>
    </row>
    <row r="111" spans="1:16" s="1" customFormat="1" ht="27.6" x14ac:dyDescent="0.3">
      <c r="A111" s="116">
        <v>109</v>
      </c>
      <c r="B111" s="152" t="s">
        <v>592</v>
      </c>
      <c r="C111" s="121" t="s">
        <v>224</v>
      </c>
      <c r="D111" s="151" t="s">
        <v>99</v>
      </c>
      <c r="E111" s="132" t="s">
        <v>592</v>
      </c>
      <c r="F111" s="118" t="s">
        <v>20</v>
      </c>
      <c r="G111" s="118" t="s">
        <v>21</v>
      </c>
      <c r="H111" s="118" t="s">
        <v>593</v>
      </c>
      <c r="I111" s="118" t="s">
        <v>226</v>
      </c>
      <c r="J111" s="118" t="s">
        <v>594</v>
      </c>
      <c r="K111" s="118">
        <v>2012</v>
      </c>
      <c r="L111" s="118" t="s">
        <v>90</v>
      </c>
      <c r="M111" s="118" t="s">
        <v>25</v>
      </c>
      <c r="N111" s="118" t="s">
        <v>595</v>
      </c>
      <c r="O111" s="158" t="s">
        <v>23</v>
      </c>
      <c r="P111" s="168" t="s">
        <v>596</v>
      </c>
    </row>
    <row r="112" spans="1:16" ht="41.4" x14ac:dyDescent="0.3">
      <c r="A112" s="195">
        <v>110</v>
      </c>
      <c r="B112" s="152" t="s">
        <v>597</v>
      </c>
      <c r="C112" s="121" t="s">
        <v>598</v>
      </c>
      <c r="D112" s="151" t="s">
        <v>599</v>
      </c>
      <c r="E112" s="132" t="s">
        <v>597</v>
      </c>
      <c r="F112" s="118" t="s">
        <v>20</v>
      </c>
      <c r="G112" s="118" t="s">
        <v>21</v>
      </c>
      <c r="H112" s="118" t="s">
        <v>600</v>
      </c>
      <c r="I112" s="128" t="s">
        <v>23</v>
      </c>
      <c r="J112" s="118" t="s">
        <v>601</v>
      </c>
      <c r="K112" s="118">
        <v>2012</v>
      </c>
      <c r="L112" s="118" t="s">
        <v>193</v>
      </c>
      <c r="M112" s="118" t="s">
        <v>39</v>
      </c>
      <c r="N112" s="120" t="s">
        <v>499</v>
      </c>
      <c r="O112" s="159" t="s">
        <v>23</v>
      </c>
      <c r="P112" s="168"/>
    </row>
    <row r="113" spans="1:16" ht="27.6" x14ac:dyDescent="0.3">
      <c r="A113" s="190">
        <v>111</v>
      </c>
      <c r="B113" s="152" t="s">
        <v>602</v>
      </c>
      <c r="C113" s="121" t="s">
        <v>603</v>
      </c>
      <c r="D113" s="151" t="s">
        <v>604</v>
      </c>
      <c r="E113" s="132" t="s">
        <v>602</v>
      </c>
      <c r="F113" s="118" t="s">
        <v>44</v>
      </c>
      <c r="G113" s="118" t="s">
        <v>21</v>
      </c>
      <c r="H113" s="118" t="s">
        <v>605</v>
      </c>
      <c r="I113" s="118" t="s">
        <v>606</v>
      </c>
      <c r="J113" s="118" t="s">
        <v>607</v>
      </c>
      <c r="K113" s="128">
        <v>2012</v>
      </c>
      <c r="L113" s="118" t="s">
        <v>38</v>
      </c>
      <c r="M113" s="118" t="s">
        <v>39</v>
      </c>
      <c r="N113" s="118"/>
      <c r="O113" s="158" t="s">
        <v>608</v>
      </c>
      <c r="P113" s="168" t="s">
        <v>609</v>
      </c>
    </row>
    <row r="114" spans="1:16" ht="21" x14ac:dyDescent="0.3">
      <c r="A114" s="190">
        <v>112</v>
      </c>
      <c r="B114" s="152" t="s">
        <v>610</v>
      </c>
      <c r="C114" s="121" t="s">
        <v>210</v>
      </c>
      <c r="D114" s="151" t="s">
        <v>43</v>
      </c>
      <c r="E114" s="132" t="s">
        <v>610</v>
      </c>
      <c r="F114" s="118" t="s">
        <v>44</v>
      </c>
      <c r="G114" s="118" t="s">
        <v>21</v>
      </c>
      <c r="H114" s="118" t="s">
        <v>537</v>
      </c>
      <c r="I114" s="118" t="s">
        <v>538</v>
      </c>
      <c r="J114" s="118" t="s">
        <v>611</v>
      </c>
      <c r="K114" s="118">
        <v>2012</v>
      </c>
      <c r="L114" s="118" t="s">
        <v>612</v>
      </c>
      <c r="M114" s="118" t="s">
        <v>39</v>
      </c>
      <c r="N114" s="118"/>
      <c r="O114" s="158" t="s">
        <v>541</v>
      </c>
      <c r="P114" s="168"/>
    </row>
    <row r="115" spans="1:16" ht="27.6" x14ac:dyDescent="0.3">
      <c r="A115" s="190">
        <v>113</v>
      </c>
      <c r="B115" s="152" t="s">
        <v>613</v>
      </c>
      <c r="C115" s="121" t="s">
        <v>614</v>
      </c>
      <c r="D115" s="151" t="s">
        <v>408</v>
      </c>
      <c r="E115" s="132" t="s">
        <v>613</v>
      </c>
      <c r="F115" s="118" t="s">
        <v>20</v>
      </c>
      <c r="G115" s="118" t="s">
        <v>21</v>
      </c>
      <c r="H115" s="118" t="s">
        <v>615</v>
      </c>
      <c r="I115" s="118" t="s">
        <v>616</v>
      </c>
      <c r="J115" s="118" t="s">
        <v>617</v>
      </c>
      <c r="K115" s="118">
        <v>2012</v>
      </c>
      <c r="L115" s="118" t="s">
        <v>54</v>
      </c>
      <c r="M115" s="118" t="s">
        <v>39</v>
      </c>
      <c r="N115" s="118"/>
      <c r="O115" s="158" t="s">
        <v>618</v>
      </c>
      <c r="P115" s="168"/>
    </row>
    <row r="116" spans="1:16" ht="27.6" x14ac:dyDescent="0.3">
      <c r="A116" s="190">
        <v>114</v>
      </c>
      <c r="B116" s="152" t="s">
        <v>619</v>
      </c>
      <c r="C116" s="121" t="s">
        <v>620</v>
      </c>
      <c r="D116" s="151" t="s">
        <v>408</v>
      </c>
      <c r="E116" s="132" t="s">
        <v>619</v>
      </c>
      <c r="F116" s="118" t="s">
        <v>20</v>
      </c>
      <c r="G116" s="118" t="s">
        <v>21</v>
      </c>
      <c r="H116" s="118" t="s">
        <v>621</v>
      </c>
      <c r="I116" s="118" t="s">
        <v>305</v>
      </c>
      <c r="J116" s="118" t="s">
        <v>584</v>
      </c>
      <c r="K116" s="118">
        <v>2012</v>
      </c>
      <c r="L116" s="118" t="s">
        <v>54</v>
      </c>
      <c r="M116" s="118" t="s">
        <v>39</v>
      </c>
      <c r="N116" s="118"/>
      <c r="O116" s="159" t="s">
        <v>23</v>
      </c>
      <c r="P116" s="168"/>
    </row>
    <row r="117" spans="1:16" s="1" customFormat="1" ht="58.95" customHeight="1" x14ac:dyDescent="0.3">
      <c r="A117" s="116">
        <v>115</v>
      </c>
      <c r="B117" s="152" t="s">
        <v>622</v>
      </c>
      <c r="C117" s="121" t="s">
        <v>623</v>
      </c>
      <c r="D117" s="151" t="s">
        <v>624</v>
      </c>
      <c r="E117" s="132" t="s">
        <v>622</v>
      </c>
      <c r="F117" s="118" t="s">
        <v>20</v>
      </c>
      <c r="G117" s="118" t="s">
        <v>21</v>
      </c>
      <c r="H117" s="118" t="s">
        <v>625</v>
      </c>
      <c r="I117" s="118" t="s">
        <v>183</v>
      </c>
      <c r="J117" s="118" t="s">
        <v>626</v>
      </c>
      <c r="K117" s="118">
        <v>2012</v>
      </c>
      <c r="L117" s="118" t="s">
        <v>24</v>
      </c>
      <c r="M117" s="118" t="s">
        <v>25</v>
      </c>
      <c r="N117" s="118"/>
      <c r="O117" s="158" t="s">
        <v>23</v>
      </c>
      <c r="P117" s="168"/>
    </row>
    <row r="118" spans="1:16" ht="41.4" x14ac:dyDescent="0.3">
      <c r="A118" s="190">
        <v>116</v>
      </c>
      <c r="B118" s="152" t="s">
        <v>627</v>
      </c>
      <c r="C118" s="121" t="s">
        <v>628</v>
      </c>
      <c r="D118" s="151" t="s">
        <v>43</v>
      </c>
      <c r="E118" s="132" t="s">
        <v>627</v>
      </c>
      <c r="F118" s="118" t="s">
        <v>325</v>
      </c>
      <c r="G118" s="118" t="s">
        <v>629</v>
      </c>
      <c r="H118" s="118" t="s">
        <v>630</v>
      </c>
      <c r="I118" s="118" t="s">
        <v>631</v>
      </c>
      <c r="J118" s="123" t="s">
        <v>632</v>
      </c>
      <c r="K118" s="118">
        <v>2012</v>
      </c>
      <c r="L118" s="118" t="s">
        <v>633</v>
      </c>
      <c r="M118" s="118" t="s">
        <v>39</v>
      </c>
      <c r="N118" s="118"/>
      <c r="O118" s="159" t="s">
        <v>23</v>
      </c>
      <c r="P118" s="168"/>
    </row>
    <row r="119" spans="1:16" s="1" customFormat="1" ht="41.4" x14ac:dyDescent="0.3">
      <c r="A119" s="116">
        <v>117</v>
      </c>
      <c r="B119" s="152" t="s">
        <v>634</v>
      </c>
      <c r="C119" s="121" t="s">
        <v>628</v>
      </c>
      <c r="D119" s="151" t="s">
        <v>43</v>
      </c>
      <c r="E119" s="132" t="s">
        <v>634</v>
      </c>
      <c r="F119" s="118" t="s">
        <v>20</v>
      </c>
      <c r="G119" s="118" t="s">
        <v>629</v>
      </c>
      <c r="H119" s="118" t="s">
        <v>635</v>
      </c>
      <c r="I119" s="118" t="s">
        <v>631</v>
      </c>
      <c r="J119" s="123" t="s">
        <v>632</v>
      </c>
      <c r="K119" s="118">
        <v>2012</v>
      </c>
      <c r="L119" s="118" t="s">
        <v>24</v>
      </c>
      <c r="M119" s="118" t="s">
        <v>25</v>
      </c>
      <c r="N119" s="118"/>
      <c r="O119" s="158" t="s">
        <v>23</v>
      </c>
      <c r="P119" s="168" t="s">
        <v>636</v>
      </c>
    </row>
    <row r="120" spans="1:16" ht="52.5" customHeight="1" x14ac:dyDescent="0.3">
      <c r="A120" s="129">
        <v>118</v>
      </c>
      <c r="B120" s="152" t="s">
        <v>637</v>
      </c>
      <c r="C120" s="121" t="s">
        <v>638</v>
      </c>
      <c r="D120" s="151" t="s">
        <v>73</v>
      </c>
      <c r="E120" s="132" t="s">
        <v>637</v>
      </c>
      <c r="F120" s="118" t="s">
        <v>20</v>
      </c>
      <c r="G120" s="118" t="s">
        <v>21</v>
      </c>
      <c r="H120" s="118" t="s">
        <v>639</v>
      </c>
      <c r="I120" s="128" t="s">
        <v>305</v>
      </c>
      <c r="J120" s="123" t="s">
        <v>640</v>
      </c>
      <c r="K120" s="118">
        <v>2012</v>
      </c>
      <c r="L120" s="118" t="s">
        <v>38</v>
      </c>
      <c r="M120" s="128" t="s">
        <v>39</v>
      </c>
      <c r="N120" s="118"/>
      <c r="O120" s="158" t="s">
        <v>641</v>
      </c>
      <c r="P120" s="168"/>
    </row>
    <row r="121" spans="1:16" ht="45.75" customHeight="1" x14ac:dyDescent="0.3">
      <c r="A121" s="190">
        <v>119</v>
      </c>
      <c r="B121" s="152" t="s">
        <v>642</v>
      </c>
      <c r="C121" s="121" t="s">
        <v>643</v>
      </c>
      <c r="D121" s="151" t="s">
        <v>202</v>
      </c>
      <c r="E121" s="132" t="s">
        <v>642</v>
      </c>
      <c r="F121" s="118" t="s">
        <v>30</v>
      </c>
      <c r="G121" s="118" t="s">
        <v>644</v>
      </c>
      <c r="H121" s="118" t="s">
        <v>645</v>
      </c>
      <c r="I121" s="118" t="s">
        <v>305</v>
      </c>
      <c r="J121" s="123" t="s">
        <v>646</v>
      </c>
      <c r="K121" s="118">
        <v>2012</v>
      </c>
      <c r="L121" s="118" t="s">
        <v>290</v>
      </c>
      <c r="M121" s="118" t="s">
        <v>39</v>
      </c>
      <c r="N121" s="118"/>
      <c r="O121" s="159" t="s">
        <v>23</v>
      </c>
      <c r="P121" s="168"/>
    </row>
    <row r="122" spans="1:16" ht="54" x14ac:dyDescent="0.3">
      <c r="A122" s="190">
        <v>120</v>
      </c>
      <c r="B122" s="152" t="s">
        <v>647</v>
      </c>
      <c r="C122" s="121" t="s">
        <v>648</v>
      </c>
      <c r="D122" s="151" t="s">
        <v>202</v>
      </c>
      <c r="E122" s="132" t="s">
        <v>647</v>
      </c>
      <c r="F122" s="118" t="s">
        <v>44</v>
      </c>
      <c r="G122" s="118" t="s">
        <v>469</v>
      </c>
      <c r="H122" s="118" t="s">
        <v>649</v>
      </c>
      <c r="I122" s="118" t="s">
        <v>650</v>
      </c>
      <c r="J122" s="123" t="s">
        <v>651</v>
      </c>
      <c r="K122" s="118">
        <v>2012</v>
      </c>
      <c r="L122" s="118" t="s">
        <v>281</v>
      </c>
      <c r="M122" s="118" t="s">
        <v>39</v>
      </c>
      <c r="N122" s="118" t="s">
        <v>652</v>
      </c>
      <c r="O122" s="158" t="s">
        <v>375</v>
      </c>
      <c r="P122" s="168"/>
    </row>
    <row r="123" spans="1:16" s="1" customFormat="1" ht="55.2" x14ac:dyDescent="0.3">
      <c r="A123" s="116">
        <v>121</v>
      </c>
      <c r="B123" s="152" t="s">
        <v>653</v>
      </c>
      <c r="C123" s="121" t="s">
        <v>654</v>
      </c>
      <c r="D123" s="151" t="s">
        <v>65</v>
      </c>
      <c r="E123" s="132" t="s">
        <v>653</v>
      </c>
      <c r="F123" s="118" t="s">
        <v>44</v>
      </c>
      <c r="G123" s="118" t="s">
        <v>65</v>
      </c>
      <c r="H123" s="118" t="s">
        <v>37</v>
      </c>
      <c r="I123" s="118" t="s">
        <v>655</v>
      </c>
      <c r="J123" s="123" t="s">
        <v>656</v>
      </c>
      <c r="K123" s="118">
        <v>2012</v>
      </c>
      <c r="L123" s="118" t="s">
        <v>290</v>
      </c>
      <c r="M123" s="118" t="s">
        <v>39</v>
      </c>
      <c r="N123" s="118" t="s">
        <v>657</v>
      </c>
      <c r="O123" s="158" t="s">
        <v>658</v>
      </c>
      <c r="P123" s="168" t="s">
        <v>659</v>
      </c>
    </row>
    <row r="124" spans="1:16" s="1" customFormat="1" ht="27.6" x14ac:dyDescent="0.3">
      <c r="A124" s="116">
        <v>122</v>
      </c>
      <c r="B124" s="152" t="s">
        <v>660</v>
      </c>
      <c r="C124" s="121" t="s">
        <v>661</v>
      </c>
      <c r="D124" s="151" t="s">
        <v>359</v>
      </c>
      <c r="E124" s="132" t="s">
        <v>660</v>
      </c>
      <c r="F124" s="118" t="s">
        <v>510</v>
      </c>
      <c r="G124" s="118" t="s">
        <v>87</v>
      </c>
      <c r="H124" s="118" t="s">
        <v>662</v>
      </c>
      <c r="I124" s="118" t="s">
        <v>23</v>
      </c>
      <c r="J124" s="123" t="s">
        <v>663</v>
      </c>
      <c r="K124" s="118">
        <v>2012</v>
      </c>
      <c r="L124" s="118" t="s">
        <v>61</v>
      </c>
      <c r="M124" s="118" t="s">
        <v>25</v>
      </c>
      <c r="N124" s="124" t="s">
        <v>664</v>
      </c>
      <c r="O124" s="158" t="s">
        <v>23</v>
      </c>
      <c r="P124" s="168"/>
    </row>
    <row r="125" spans="1:16" s="1" customFormat="1" ht="41.4" x14ac:dyDescent="0.3">
      <c r="A125" s="116">
        <v>123</v>
      </c>
      <c r="B125" s="152" t="s">
        <v>665</v>
      </c>
      <c r="C125" s="121" t="s">
        <v>666</v>
      </c>
      <c r="D125" s="151" t="s">
        <v>447</v>
      </c>
      <c r="E125" s="132" t="s">
        <v>665</v>
      </c>
      <c r="F125" s="118" t="s">
        <v>20</v>
      </c>
      <c r="G125" s="118" t="s">
        <v>21</v>
      </c>
      <c r="H125" s="118" t="s">
        <v>667</v>
      </c>
      <c r="I125" s="118" t="s">
        <v>668</v>
      </c>
      <c r="J125" s="118" t="s">
        <v>669</v>
      </c>
      <c r="K125" s="118">
        <v>2013</v>
      </c>
      <c r="L125" s="118" t="s">
        <v>314</v>
      </c>
      <c r="M125" s="118" t="s">
        <v>39</v>
      </c>
      <c r="N125" s="118"/>
      <c r="O125" s="158" t="s">
        <v>23</v>
      </c>
      <c r="P125" s="168"/>
    </row>
    <row r="126" spans="1:16" ht="43.2" customHeight="1" x14ac:dyDescent="0.3">
      <c r="A126" s="133">
        <v>124</v>
      </c>
      <c r="B126" s="152" t="s">
        <v>670</v>
      </c>
      <c r="C126" s="121" t="s">
        <v>671</v>
      </c>
      <c r="D126" s="151" t="s">
        <v>447</v>
      </c>
      <c r="E126" s="132" t="s">
        <v>670</v>
      </c>
      <c r="F126" s="118" t="s">
        <v>20</v>
      </c>
      <c r="G126" s="118" t="s">
        <v>21</v>
      </c>
      <c r="H126" s="118" t="s">
        <v>639</v>
      </c>
      <c r="I126" s="118" t="s">
        <v>672</v>
      </c>
      <c r="J126" s="118" t="s">
        <v>673</v>
      </c>
      <c r="K126" s="118">
        <v>2013</v>
      </c>
      <c r="L126" s="118" t="s">
        <v>54</v>
      </c>
      <c r="M126" s="118" t="s">
        <v>39</v>
      </c>
      <c r="N126" s="118"/>
      <c r="O126" s="159" t="s">
        <v>23</v>
      </c>
      <c r="P126" s="168" t="s">
        <v>674</v>
      </c>
    </row>
    <row r="127" spans="1:16" ht="27.6" x14ac:dyDescent="0.3">
      <c r="A127" s="190">
        <v>125</v>
      </c>
      <c r="B127" s="152" t="s">
        <v>675</v>
      </c>
      <c r="C127" s="121" t="s">
        <v>676</v>
      </c>
      <c r="D127" s="151" t="s">
        <v>94</v>
      </c>
      <c r="E127" s="132" t="s">
        <v>675</v>
      </c>
      <c r="F127" s="118" t="s">
        <v>325</v>
      </c>
      <c r="G127" s="118" t="s">
        <v>21</v>
      </c>
      <c r="H127" s="118" t="s">
        <v>677</v>
      </c>
      <c r="I127" s="118" t="s">
        <v>678</v>
      </c>
      <c r="J127" s="118" t="s">
        <v>679</v>
      </c>
      <c r="K127" s="118">
        <v>2013</v>
      </c>
      <c r="L127" s="118" t="s">
        <v>159</v>
      </c>
      <c r="M127" s="118" t="s">
        <v>39</v>
      </c>
      <c r="N127" s="118"/>
      <c r="O127" s="159" t="s">
        <v>23</v>
      </c>
      <c r="P127" s="168"/>
    </row>
    <row r="128" spans="1:16" ht="55.2" x14ac:dyDescent="0.3">
      <c r="A128" s="133">
        <v>126</v>
      </c>
      <c r="B128" s="152" t="s">
        <v>680</v>
      </c>
      <c r="C128" s="121" t="s">
        <v>681</v>
      </c>
      <c r="D128" s="151" t="s">
        <v>682</v>
      </c>
      <c r="E128" s="132" t="s">
        <v>680</v>
      </c>
      <c r="F128" s="118" t="s">
        <v>20</v>
      </c>
      <c r="G128" s="118" t="s">
        <v>21</v>
      </c>
      <c r="H128" s="118" t="s">
        <v>683</v>
      </c>
      <c r="I128" s="118" t="s">
        <v>684</v>
      </c>
      <c r="J128" s="118" t="s">
        <v>685</v>
      </c>
      <c r="K128" s="118">
        <v>2013</v>
      </c>
      <c r="L128" s="118" t="s">
        <v>54</v>
      </c>
      <c r="M128" s="118" t="s">
        <v>39</v>
      </c>
      <c r="N128" s="118"/>
      <c r="O128" s="158" t="s">
        <v>686</v>
      </c>
      <c r="P128" s="168" t="s">
        <v>687</v>
      </c>
    </row>
    <row r="129" spans="1:16" s="1" customFormat="1" ht="41.4" x14ac:dyDescent="0.3">
      <c r="A129" s="116">
        <v>127</v>
      </c>
      <c r="B129" s="152" t="s">
        <v>688</v>
      </c>
      <c r="C129" s="121" t="s">
        <v>689</v>
      </c>
      <c r="D129" s="151" t="s">
        <v>99</v>
      </c>
      <c r="E129" s="132" t="s">
        <v>688</v>
      </c>
      <c r="F129" s="118" t="s">
        <v>20</v>
      </c>
      <c r="G129" s="118" t="s">
        <v>21</v>
      </c>
      <c r="H129" s="118" t="s">
        <v>690</v>
      </c>
      <c r="I129" s="118" t="s">
        <v>691</v>
      </c>
      <c r="J129" s="118" t="s">
        <v>692</v>
      </c>
      <c r="K129" s="118">
        <v>2013</v>
      </c>
      <c r="L129" s="118" t="s">
        <v>61</v>
      </c>
      <c r="M129" s="118" t="s">
        <v>25</v>
      </c>
      <c r="N129" s="118" t="s">
        <v>693</v>
      </c>
      <c r="O129" s="158" t="s">
        <v>694</v>
      </c>
      <c r="P129" s="168"/>
    </row>
    <row r="130" spans="1:16" s="1" customFormat="1" ht="27.6" x14ac:dyDescent="0.3">
      <c r="A130" s="116">
        <v>128</v>
      </c>
      <c r="B130" s="152" t="s">
        <v>695</v>
      </c>
      <c r="C130" s="121" t="s">
        <v>689</v>
      </c>
      <c r="D130" s="151" t="s">
        <v>99</v>
      </c>
      <c r="E130" s="132" t="s">
        <v>695</v>
      </c>
      <c r="F130" s="118" t="s">
        <v>44</v>
      </c>
      <c r="G130" s="118" t="s">
        <v>21</v>
      </c>
      <c r="H130" s="118" t="s">
        <v>696</v>
      </c>
      <c r="I130" s="118" t="s">
        <v>691</v>
      </c>
      <c r="J130" s="118" t="s">
        <v>692</v>
      </c>
      <c r="K130" s="118">
        <v>2013</v>
      </c>
      <c r="L130" s="118" t="s">
        <v>61</v>
      </c>
      <c r="M130" s="118" t="s">
        <v>25</v>
      </c>
      <c r="N130" s="118"/>
      <c r="O130" s="158" t="s">
        <v>694</v>
      </c>
      <c r="P130" s="168"/>
    </row>
    <row r="131" spans="1:16" s="1" customFormat="1" ht="27.6" x14ac:dyDescent="0.3">
      <c r="A131" s="116">
        <v>129</v>
      </c>
      <c r="B131" s="152" t="s">
        <v>697</v>
      </c>
      <c r="C131" s="121" t="s">
        <v>689</v>
      </c>
      <c r="D131" s="151" t="s">
        <v>99</v>
      </c>
      <c r="E131" s="132" t="s">
        <v>697</v>
      </c>
      <c r="F131" s="118" t="s">
        <v>44</v>
      </c>
      <c r="G131" s="118" t="s">
        <v>21</v>
      </c>
      <c r="H131" s="118" t="s">
        <v>698</v>
      </c>
      <c r="I131" s="118" t="s">
        <v>691</v>
      </c>
      <c r="J131" s="118" t="s">
        <v>692</v>
      </c>
      <c r="K131" s="118">
        <v>2013</v>
      </c>
      <c r="L131" s="118" t="s">
        <v>61</v>
      </c>
      <c r="M131" s="118" t="s">
        <v>25</v>
      </c>
      <c r="N131" s="118"/>
      <c r="O131" s="158" t="s">
        <v>694</v>
      </c>
      <c r="P131" s="168"/>
    </row>
    <row r="132" spans="1:16" s="1" customFormat="1" ht="76.95" customHeight="1" x14ac:dyDescent="0.3">
      <c r="A132" s="116">
        <v>130</v>
      </c>
      <c r="B132" s="152" t="s">
        <v>699</v>
      </c>
      <c r="C132" s="121" t="s">
        <v>98</v>
      </c>
      <c r="D132" s="151" t="s">
        <v>99</v>
      </c>
      <c r="E132" s="132" t="s">
        <v>699</v>
      </c>
      <c r="F132" s="118" t="s">
        <v>20</v>
      </c>
      <c r="G132" s="118" t="s">
        <v>21</v>
      </c>
      <c r="H132" s="118" t="s">
        <v>700</v>
      </c>
      <c r="I132" s="118" t="s">
        <v>701</v>
      </c>
      <c r="J132" s="118" t="s">
        <v>702</v>
      </c>
      <c r="K132" s="118">
        <v>2013</v>
      </c>
      <c r="L132" s="118" t="s">
        <v>116</v>
      </c>
      <c r="M132" s="118" t="s">
        <v>39</v>
      </c>
      <c r="N132" s="118" t="s">
        <v>703</v>
      </c>
      <c r="O132" s="158" t="s">
        <v>23</v>
      </c>
      <c r="P132" s="168"/>
    </row>
    <row r="133" spans="1:16" s="1" customFormat="1" ht="68.400000000000006" customHeight="1" x14ac:dyDescent="0.3">
      <c r="A133" s="116">
        <v>131</v>
      </c>
      <c r="B133" s="152" t="s">
        <v>704</v>
      </c>
      <c r="C133" s="121" t="s">
        <v>705</v>
      </c>
      <c r="D133" s="151" t="s">
        <v>99</v>
      </c>
      <c r="E133" s="132" t="s">
        <v>704</v>
      </c>
      <c r="F133" s="118" t="s">
        <v>20</v>
      </c>
      <c r="G133" s="118" t="s">
        <v>21</v>
      </c>
      <c r="H133" s="118" t="s">
        <v>706</v>
      </c>
      <c r="I133" s="118" t="s">
        <v>707</v>
      </c>
      <c r="J133" s="118" t="s">
        <v>708</v>
      </c>
      <c r="K133" s="118">
        <v>2013</v>
      </c>
      <c r="L133" s="118" t="s">
        <v>69</v>
      </c>
      <c r="M133" s="118" t="s">
        <v>25</v>
      </c>
      <c r="N133" s="118"/>
      <c r="O133" s="158" t="s">
        <v>23</v>
      </c>
      <c r="P133" s="168" t="s">
        <v>709</v>
      </c>
    </row>
    <row r="134" spans="1:16" s="1" customFormat="1" ht="41.4" x14ac:dyDescent="0.3">
      <c r="A134" s="116">
        <v>132</v>
      </c>
      <c r="B134" s="152" t="s">
        <v>710</v>
      </c>
      <c r="C134" s="121" t="s">
        <v>711</v>
      </c>
      <c r="D134" s="151" t="s">
        <v>99</v>
      </c>
      <c r="E134" s="132" t="s">
        <v>710</v>
      </c>
      <c r="F134" s="118" t="s">
        <v>20</v>
      </c>
      <c r="G134" s="118" t="s">
        <v>21</v>
      </c>
      <c r="H134" s="118" t="s">
        <v>712</v>
      </c>
      <c r="I134" s="118" t="s">
        <v>379</v>
      </c>
      <c r="J134" s="118" t="s">
        <v>708</v>
      </c>
      <c r="K134" s="118">
        <v>2013</v>
      </c>
      <c r="L134" s="118" t="s">
        <v>193</v>
      </c>
      <c r="M134" s="118" t="s">
        <v>25</v>
      </c>
      <c r="N134" s="118"/>
      <c r="O134" s="158" t="s">
        <v>382</v>
      </c>
      <c r="P134" s="168"/>
    </row>
    <row r="135" spans="1:16" ht="41.4" x14ac:dyDescent="0.3">
      <c r="A135" s="190">
        <v>133</v>
      </c>
      <c r="B135" s="152" t="s">
        <v>713</v>
      </c>
      <c r="C135" s="121" t="s">
        <v>714</v>
      </c>
      <c r="D135" s="151" t="s">
        <v>99</v>
      </c>
      <c r="E135" s="132" t="s">
        <v>713</v>
      </c>
      <c r="F135" s="118" t="s">
        <v>325</v>
      </c>
      <c r="G135" s="118" t="s">
        <v>21</v>
      </c>
      <c r="H135" s="118" t="s">
        <v>715</v>
      </c>
      <c r="I135" s="118" t="s">
        <v>716</v>
      </c>
      <c r="J135" s="118" t="s">
        <v>717</v>
      </c>
      <c r="K135" s="118">
        <v>2013</v>
      </c>
      <c r="L135" s="118" t="s">
        <v>718</v>
      </c>
      <c r="M135" s="118" t="s">
        <v>39</v>
      </c>
      <c r="N135" s="118"/>
      <c r="O135" s="158" t="s">
        <v>719</v>
      </c>
      <c r="P135" s="168"/>
    </row>
    <row r="136" spans="1:16" s="1" customFormat="1" ht="41.4" x14ac:dyDescent="0.3">
      <c r="A136" s="116">
        <v>134</v>
      </c>
      <c r="B136" s="152" t="s">
        <v>720</v>
      </c>
      <c r="C136" s="121" t="s">
        <v>721</v>
      </c>
      <c r="D136" s="151" t="s">
        <v>86</v>
      </c>
      <c r="E136" s="132" t="s">
        <v>720</v>
      </c>
      <c r="F136" s="118" t="s">
        <v>30</v>
      </c>
      <c r="G136" s="118" t="s">
        <v>21</v>
      </c>
      <c r="H136" s="118" t="s">
        <v>722</v>
      </c>
      <c r="I136" s="118" t="s">
        <v>555</v>
      </c>
      <c r="J136" s="118">
        <v>2013</v>
      </c>
      <c r="K136" s="118">
        <v>2013</v>
      </c>
      <c r="L136" s="118" t="s">
        <v>363</v>
      </c>
      <c r="M136" s="118" t="s">
        <v>25</v>
      </c>
      <c r="N136" s="118"/>
      <c r="O136" s="158" t="s">
        <v>23</v>
      </c>
      <c r="P136" s="168" t="s">
        <v>723</v>
      </c>
    </row>
    <row r="137" spans="1:16" ht="27.6" x14ac:dyDescent="0.3">
      <c r="A137" s="190">
        <v>135</v>
      </c>
      <c r="B137" s="152" t="s">
        <v>724</v>
      </c>
      <c r="C137" s="121" t="s">
        <v>725</v>
      </c>
      <c r="D137" s="151" t="s">
        <v>86</v>
      </c>
      <c r="E137" s="132" t="s">
        <v>724</v>
      </c>
      <c r="F137" s="118" t="s">
        <v>44</v>
      </c>
      <c r="G137" s="118" t="s">
        <v>21</v>
      </c>
      <c r="H137" s="118" t="s">
        <v>726</v>
      </c>
      <c r="I137" s="118" t="s">
        <v>727</v>
      </c>
      <c r="J137" s="118" t="s">
        <v>728</v>
      </c>
      <c r="K137" s="118">
        <v>2013</v>
      </c>
      <c r="L137" s="118" t="s">
        <v>167</v>
      </c>
      <c r="M137" s="118" t="s">
        <v>39</v>
      </c>
      <c r="N137" s="118" t="s">
        <v>729</v>
      </c>
      <c r="O137" s="158" t="s">
        <v>730</v>
      </c>
      <c r="P137" s="168"/>
    </row>
    <row r="138" spans="1:16" ht="54" x14ac:dyDescent="0.3">
      <c r="A138" s="129">
        <v>136</v>
      </c>
      <c r="B138" s="152" t="s">
        <v>731</v>
      </c>
      <c r="C138" s="121" t="s">
        <v>732</v>
      </c>
      <c r="D138" s="151" t="s">
        <v>604</v>
      </c>
      <c r="E138" s="132" t="s">
        <v>731</v>
      </c>
      <c r="F138" s="118" t="s">
        <v>20</v>
      </c>
      <c r="G138" s="118" t="s">
        <v>21</v>
      </c>
      <c r="H138" s="118" t="s">
        <v>733</v>
      </c>
      <c r="I138" s="128" t="s">
        <v>105</v>
      </c>
      <c r="J138" s="128" t="s">
        <v>734</v>
      </c>
      <c r="K138" s="128">
        <v>2013</v>
      </c>
      <c r="L138" s="118" t="s">
        <v>54</v>
      </c>
      <c r="M138" s="118" t="s">
        <v>39</v>
      </c>
      <c r="N138" s="118"/>
      <c r="O138" s="159" t="s">
        <v>23</v>
      </c>
      <c r="P138" s="168"/>
    </row>
    <row r="139" spans="1:16" ht="79.2" customHeight="1" x14ac:dyDescent="0.3">
      <c r="A139" s="191">
        <v>137</v>
      </c>
      <c r="B139" s="152" t="s">
        <v>735</v>
      </c>
      <c r="C139" s="121" t="s">
        <v>736</v>
      </c>
      <c r="D139" s="151" t="s">
        <v>604</v>
      </c>
      <c r="E139" s="132" t="s">
        <v>735</v>
      </c>
      <c r="F139" s="118" t="s">
        <v>325</v>
      </c>
      <c r="G139" s="118" t="s">
        <v>21</v>
      </c>
      <c r="H139" s="118" t="s">
        <v>737</v>
      </c>
      <c r="I139" s="128" t="s">
        <v>305</v>
      </c>
      <c r="J139" s="134">
        <v>2013</v>
      </c>
      <c r="K139" s="128">
        <v>2013</v>
      </c>
      <c r="L139" s="118" t="s">
        <v>738</v>
      </c>
      <c r="M139" s="118" t="s">
        <v>39</v>
      </c>
      <c r="N139" s="124" t="s">
        <v>739</v>
      </c>
      <c r="O139" s="159" t="s">
        <v>23</v>
      </c>
      <c r="P139" s="168"/>
    </row>
    <row r="140" spans="1:16" ht="45" customHeight="1" x14ac:dyDescent="0.3">
      <c r="A140" s="190">
        <v>138</v>
      </c>
      <c r="B140" s="152" t="s">
        <v>740</v>
      </c>
      <c r="C140" s="121" t="s">
        <v>741</v>
      </c>
      <c r="D140" s="151" t="s">
        <v>604</v>
      </c>
      <c r="E140" s="132" t="s">
        <v>740</v>
      </c>
      <c r="F140" s="118" t="s">
        <v>20</v>
      </c>
      <c r="G140" s="118" t="s">
        <v>21</v>
      </c>
      <c r="H140" s="118" t="s">
        <v>742</v>
      </c>
      <c r="I140" s="118" t="s">
        <v>512</v>
      </c>
      <c r="J140" s="118" t="s">
        <v>743</v>
      </c>
      <c r="K140" s="118">
        <v>2013</v>
      </c>
      <c r="L140" s="118" t="s">
        <v>159</v>
      </c>
      <c r="M140" s="118" t="s">
        <v>39</v>
      </c>
      <c r="N140" s="118"/>
      <c r="O140" s="158" t="s">
        <v>234</v>
      </c>
      <c r="P140" s="168"/>
    </row>
    <row r="141" spans="1:16" ht="27.6" x14ac:dyDescent="0.3">
      <c r="A141" s="190">
        <v>139</v>
      </c>
      <c r="B141" s="152" t="s">
        <v>744</v>
      </c>
      <c r="C141" s="121" t="s">
        <v>210</v>
      </c>
      <c r="D141" s="151" t="s">
        <v>43</v>
      </c>
      <c r="E141" s="132" t="s">
        <v>744</v>
      </c>
      <c r="F141" s="118" t="s">
        <v>44</v>
      </c>
      <c r="G141" s="118" t="s">
        <v>21</v>
      </c>
      <c r="H141" s="118" t="s">
        <v>745</v>
      </c>
      <c r="I141" s="118" t="s">
        <v>538</v>
      </c>
      <c r="J141" s="118" t="s">
        <v>746</v>
      </c>
      <c r="K141" s="118">
        <v>2013</v>
      </c>
      <c r="L141" s="118" t="s">
        <v>747</v>
      </c>
      <c r="M141" s="118" t="s">
        <v>39</v>
      </c>
      <c r="N141" s="118"/>
      <c r="O141" s="158" t="s">
        <v>541</v>
      </c>
      <c r="P141" s="168" t="s">
        <v>748</v>
      </c>
    </row>
    <row r="142" spans="1:16" ht="27.6" x14ac:dyDescent="0.3">
      <c r="A142" s="133">
        <v>140</v>
      </c>
      <c r="B142" s="152" t="s">
        <v>749</v>
      </c>
      <c r="C142" s="121" t="s">
        <v>750</v>
      </c>
      <c r="D142" s="151" t="s">
        <v>43</v>
      </c>
      <c r="E142" s="132" t="s">
        <v>749</v>
      </c>
      <c r="F142" s="128" t="s">
        <v>20</v>
      </c>
      <c r="G142" s="118" t="s">
        <v>21</v>
      </c>
      <c r="H142" s="118" t="s">
        <v>751</v>
      </c>
      <c r="I142" s="118" t="s">
        <v>752</v>
      </c>
      <c r="J142" s="123" t="s">
        <v>753</v>
      </c>
      <c r="K142" s="118">
        <v>2013</v>
      </c>
      <c r="L142" s="128" t="s">
        <v>54</v>
      </c>
      <c r="M142" s="128" t="s">
        <v>39</v>
      </c>
      <c r="N142" s="118"/>
      <c r="O142" s="159" t="s">
        <v>23</v>
      </c>
      <c r="P142" s="168"/>
    </row>
    <row r="143" spans="1:16" ht="21" x14ac:dyDescent="0.3">
      <c r="A143" s="190">
        <v>141</v>
      </c>
      <c r="B143" s="152" t="s">
        <v>754</v>
      </c>
      <c r="C143" s="121" t="s">
        <v>755</v>
      </c>
      <c r="D143" s="151" t="s">
        <v>86</v>
      </c>
      <c r="E143" s="132" t="s">
        <v>754</v>
      </c>
      <c r="F143" s="118" t="s">
        <v>44</v>
      </c>
      <c r="G143" s="118" t="s">
        <v>87</v>
      </c>
      <c r="H143" s="118" t="s">
        <v>756</v>
      </c>
      <c r="I143" s="118" t="s">
        <v>757</v>
      </c>
      <c r="J143" s="123" t="s">
        <v>702</v>
      </c>
      <c r="K143" s="118">
        <v>2013</v>
      </c>
      <c r="L143" s="118" t="s">
        <v>167</v>
      </c>
      <c r="M143" s="118" t="s">
        <v>39</v>
      </c>
      <c r="N143" s="118"/>
      <c r="O143" s="159" t="s">
        <v>23</v>
      </c>
      <c r="P143" s="168"/>
    </row>
    <row r="144" spans="1:16" s="1" customFormat="1" ht="36" x14ac:dyDescent="0.3">
      <c r="A144" s="116">
        <v>142</v>
      </c>
      <c r="B144" s="152" t="s">
        <v>758</v>
      </c>
      <c r="C144" s="149" t="s">
        <v>56</v>
      </c>
      <c r="D144" s="151" t="s">
        <v>57</v>
      </c>
      <c r="E144" s="132" t="s">
        <v>758</v>
      </c>
      <c r="F144" s="118" t="s">
        <v>20</v>
      </c>
      <c r="G144" s="118" t="s">
        <v>58</v>
      </c>
      <c r="H144" s="118" t="s">
        <v>759</v>
      </c>
      <c r="I144" s="118" t="s">
        <v>760</v>
      </c>
      <c r="J144" s="123" t="s">
        <v>761</v>
      </c>
      <c r="K144" s="118">
        <v>2013</v>
      </c>
      <c r="L144" s="118" t="s">
        <v>61</v>
      </c>
      <c r="M144" s="118" t="s">
        <v>25</v>
      </c>
      <c r="N144" s="118"/>
      <c r="O144" s="158" t="s">
        <v>23</v>
      </c>
      <c r="P144" s="168" t="s">
        <v>762</v>
      </c>
    </row>
    <row r="145" spans="1:16" ht="69" x14ac:dyDescent="0.3">
      <c r="A145" s="190">
        <v>143</v>
      </c>
      <c r="B145" s="152" t="s">
        <v>763</v>
      </c>
      <c r="C145" s="121" t="s">
        <v>764</v>
      </c>
      <c r="D145" s="151" t="s">
        <v>43</v>
      </c>
      <c r="E145" s="132" t="s">
        <v>763</v>
      </c>
      <c r="F145" s="118" t="s">
        <v>325</v>
      </c>
      <c r="G145" s="118" t="s">
        <v>21</v>
      </c>
      <c r="H145" s="118" t="s">
        <v>765</v>
      </c>
      <c r="I145" s="118" t="s">
        <v>766</v>
      </c>
      <c r="J145" s="118" t="s">
        <v>767</v>
      </c>
      <c r="K145" s="118">
        <v>2013</v>
      </c>
      <c r="L145" s="118" t="s">
        <v>363</v>
      </c>
      <c r="M145" s="118" t="s">
        <v>39</v>
      </c>
      <c r="N145" s="118" t="s">
        <v>768</v>
      </c>
      <c r="O145" s="158" t="s">
        <v>686</v>
      </c>
      <c r="P145" s="168"/>
    </row>
    <row r="146" spans="1:16" s="1" customFormat="1" ht="55.2" x14ac:dyDescent="0.3">
      <c r="A146" s="116">
        <v>144</v>
      </c>
      <c r="B146" s="152" t="s">
        <v>769</v>
      </c>
      <c r="C146" s="121" t="s">
        <v>770</v>
      </c>
      <c r="D146" s="151" t="s">
        <v>230</v>
      </c>
      <c r="E146" s="132" t="s">
        <v>769</v>
      </c>
      <c r="F146" s="118" t="s">
        <v>20</v>
      </c>
      <c r="G146" s="118" t="s">
        <v>171</v>
      </c>
      <c r="H146" s="118" t="s">
        <v>771</v>
      </c>
      <c r="I146" s="118" t="s">
        <v>772</v>
      </c>
      <c r="J146" s="123" t="s">
        <v>773</v>
      </c>
      <c r="K146" s="118">
        <v>2013</v>
      </c>
      <c r="L146" s="118" t="s">
        <v>90</v>
      </c>
      <c r="M146" s="118" t="s">
        <v>25</v>
      </c>
      <c r="N146" s="118"/>
      <c r="O146" s="158" t="s">
        <v>23</v>
      </c>
      <c r="P146" s="132" t="s">
        <v>2491</v>
      </c>
    </row>
    <row r="147" spans="1:16" ht="27.6" x14ac:dyDescent="0.3">
      <c r="A147" s="190">
        <v>145</v>
      </c>
      <c r="B147" s="152" t="s">
        <v>774</v>
      </c>
      <c r="C147" s="121" t="s">
        <v>775</v>
      </c>
      <c r="D147" s="151" t="s">
        <v>230</v>
      </c>
      <c r="E147" s="132" t="s">
        <v>774</v>
      </c>
      <c r="F147" s="118" t="s">
        <v>20</v>
      </c>
      <c r="G147" s="118" t="s">
        <v>87</v>
      </c>
      <c r="H147" s="118" t="s">
        <v>776</v>
      </c>
      <c r="I147" s="118" t="s">
        <v>777</v>
      </c>
      <c r="J147" s="123" t="s">
        <v>778</v>
      </c>
      <c r="K147" s="118">
        <v>2013</v>
      </c>
      <c r="L147" s="118" t="s">
        <v>38</v>
      </c>
      <c r="M147" s="118" t="s">
        <v>39</v>
      </c>
      <c r="N147" s="118"/>
      <c r="O147" s="159" t="s">
        <v>23</v>
      </c>
      <c r="P147" s="168"/>
    </row>
    <row r="148" spans="1:16" ht="27.6" x14ac:dyDescent="0.3">
      <c r="A148" s="190">
        <v>146</v>
      </c>
      <c r="B148" s="152" t="s">
        <v>779</v>
      </c>
      <c r="C148" s="121" t="s">
        <v>780</v>
      </c>
      <c r="D148" s="151" t="s">
        <v>86</v>
      </c>
      <c r="E148" s="132" t="s">
        <v>779</v>
      </c>
      <c r="F148" s="118" t="s">
        <v>20</v>
      </c>
      <c r="G148" s="118" t="s">
        <v>171</v>
      </c>
      <c r="H148" s="118" t="s">
        <v>37</v>
      </c>
      <c r="I148" s="118" t="s">
        <v>82</v>
      </c>
      <c r="J148" s="123" t="s">
        <v>781</v>
      </c>
      <c r="K148" s="118">
        <v>2013</v>
      </c>
      <c r="L148" s="118" t="s">
        <v>159</v>
      </c>
      <c r="M148" s="118" t="s">
        <v>39</v>
      </c>
      <c r="N148" s="118"/>
      <c r="O148" s="159" t="s">
        <v>23</v>
      </c>
      <c r="P148" s="168"/>
    </row>
    <row r="149" spans="1:16" s="1" customFormat="1" ht="36" x14ac:dyDescent="0.3">
      <c r="A149" s="116">
        <v>147</v>
      </c>
      <c r="B149" s="152" t="s">
        <v>782</v>
      </c>
      <c r="C149" s="121" t="s">
        <v>783</v>
      </c>
      <c r="D149" s="151" t="s">
        <v>65</v>
      </c>
      <c r="E149" s="132" t="s">
        <v>782</v>
      </c>
      <c r="F149" s="118" t="s">
        <v>44</v>
      </c>
      <c r="G149" s="118" t="s">
        <v>65</v>
      </c>
      <c r="H149" s="118" t="s">
        <v>784</v>
      </c>
      <c r="I149" s="118" t="s">
        <v>785</v>
      </c>
      <c r="J149" s="123" t="s">
        <v>786</v>
      </c>
      <c r="K149" s="118">
        <v>2013</v>
      </c>
      <c r="L149" s="118" t="s">
        <v>24</v>
      </c>
      <c r="M149" s="118" t="s">
        <v>25</v>
      </c>
      <c r="N149" s="118"/>
      <c r="O149" s="158" t="s">
        <v>23</v>
      </c>
      <c r="P149" s="168"/>
    </row>
    <row r="150" spans="1:16" s="1" customFormat="1" ht="27.6" x14ac:dyDescent="0.3">
      <c r="A150" s="116">
        <v>148</v>
      </c>
      <c r="B150" s="152" t="s">
        <v>787</v>
      </c>
      <c r="C150" s="121" t="s">
        <v>224</v>
      </c>
      <c r="D150" s="151" t="s">
        <v>99</v>
      </c>
      <c r="E150" s="132" t="s">
        <v>787</v>
      </c>
      <c r="F150" s="118" t="s">
        <v>44</v>
      </c>
      <c r="G150" s="118" t="s">
        <v>21</v>
      </c>
      <c r="H150" s="118" t="s">
        <v>788</v>
      </c>
      <c r="I150" s="118" t="s">
        <v>226</v>
      </c>
      <c r="J150" s="118" t="s">
        <v>789</v>
      </c>
      <c r="K150" s="118">
        <v>2014</v>
      </c>
      <c r="L150" s="118" t="s">
        <v>790</v>
      </c>
      <c r="M150" s="118" t="s">
        <v>25</v>
      </c>
      <c r="N150" s="118" t="s">
        <v>791</v>
      </c>
      <c r="O150" s="158" t="s">
        <v>23</v>
      </c>
      <c r="P150" s="168" t="s">
        <v>792</v>
      </c>
    </row>
    <row r="151" spans="1:16" s="1" customFormat="1" ht="55.2" x14ac:dyDescent="0.3">
      <c r="A151" s="116">
        <v>149</v>
      </c>
      <c r="B151" s="152" t="s">
        <v>793</v>
      </c>
      <c r="C151" s="121" t="s">
        <v>794</v>
      </c>
      <c r="D151" s="151" t="s">
        <v>86</v>
      </c>
      <c r="E151" s="132" t="s">
        <v>793</v>
      </c>
      <c r="F151" s="118" t="s">
        <v>20</v>
      </c>
      <c r="G151" s="118" t="s">
        <v>21</v>
      </c>
      <c r="H151" s="118" t="s">
        <v>795</v>
      </c>
      <c r="I151" s="118" t="s">
        <v>796</v>
      </c>
      <c r="J151" s="118" t="s">
        <v>797</v>
      </c>
      <c r="K151" s="118">
        <v>2014</v>
      </c>
      <c r="L151" s="118" t="s">
        <v>54</v>
      </c>
      <c r="M151" s="118" t="s">
        <v>39</v>
      </c>
      <c r="N151" s="118"/>
      <c r="O151" s="158" t="s">
        <v>23</v>
      </c>
      <c r="P151" s="168"/>
    </row>
    <row r="152" spans="1:16" s="1" customFormat="1" ht="76.95" customHeight="1" x14ac:dyDescent="0.3">
      <c r="A152" s="116">
        <v>150</v>
      </c>
      <c r="B152" s="152" t="s">
        <v>798</v>
      </c>
      <c r="C152" s="121" t="s">
        <v>799</v>
      </c>
      <c r="D152" s="151" t="s">
        <v>86</v>
      </c>
      <c r="E152" s="132" t="s">
        <v>798</v>
      </c>
      <c r="F152" s="118" t="s">
        <v>325</v>
      </c>
      <c r="G152" s="118" t="s">
        <v>21</v>
      </c>
      <c r="H152" s="118" t="s">
        <v>800</v>
      </c>
      <c r="I152" s="118" t="s">
        <v>785</v>
      </c>
      <c r="J152" s="118" t="s">
        <v>801</v>
      </c>
      <c r="K152" s="118">
        <v>2014</v>
      </c>
      <c r="L152" s="119" t="s">
        <v>24</v>
      </c>
      <c r="M152" s="118" t="s">
        <v>25</v>
      </c>
      <c r="N152" s="118" t="s">
        <v>802</v>
      </c>
      <c r="O152" s="158" t="s">
        <v>23</v>
      </c>
      <c r="P152" s="168"/>
    </row>
    <row r="153" spans="1:16" s="1" customFormat="1" ht="27.6" x14ac:dyDescent="0.3">
      <c r="A153" s="116">
        <v>151</v>
      </c>
      <c r="B153" s="152" t="s">
        <v>803</v>
      </c>
      <c r="C153" s="121" t="s">
        <v>804</v>
      </c>
      <c r="D153" s="151" t="s">
        <v>43</v>
      </c>
      <c r="E153" s="132" t="s">
        <v>803</v>
      </c>
      <c r="F153" s="118" t="s">
        <v>20</v>
      </c>
      <c r="G153" s="118" t="s">
        <v>21</v>
      </c>
      <c r="H153" s="118" t="s">
        <v>805</v>
      </c>
      <c r="I153" s="118" t="s">
        <v>192</v>
      </c>
      <c r="J153" s="118" t="s">
        <v>806</v>
      </c>
      <c r="K153" s="118">
        <v>2014</v>
      </c>
      <c r="L153" s="119" t="s">
        <v>24</v>
      </c>
      <c r="M153" s="118" t="s">
        <v>25</v>
      </c>
      <c r="N153" s="118"/>
      <c r="O153" s="158" t="s">
        <v>23</v>
      </c>
      <c r="P153" s="168"/>
    </row>
    <row r="154" spans="1:16" ht="82.95" customHeight="1" x14ac:dyDescent="0.3">
      <c r="A154" s="130">
        <v>152</v>
      </c>
      <c r="B154" s="152" t="s">
        <v>807</v>
      </c>
      <c r="C154" s="121" t="s">
        <v>808</v>
      </c>
      <c r="D154" s="151" t="s">
        <v>202</v>
      </c>
      <c r="E154" s="132" t="s">
        <v>807</v>
      </c>
      <c r="F154" s="118" t="s">
        <v>30</v>
      </c>
      <c r="G154" s="118" t="s">
        <v>644</v>
      </c>
      <c r="H154" s="118" t="s">
        <v>809</v>
      </c>
      <c r="I154" s="118" t="s">
        <v>810</v>
      </c>
      <c r="J154" s="118">
        <v>2014</v>
      </c>
      <c r="K154" s="118">
        <v>2014</v>
      </c>
      <c r="L154" s="118" t="s">
        <v>38</v>
      </c>
      <c r="M154" s="118" t="s">
        <v>39</v>
      </c>
      <c r="N154" s="120" t="s">
        <v>811</v>
      </c>
      <c r="O154" s="159" t="s">
        <v>812</v>
      </c>
      <c r="P154" s="168" t="s">
        <v>813</v>
      </c>
    </row>
    <row r="155" spans="1:16" s="1" customFormat="1" ht="36" x14ac:dyDescent="0.3">
      <c r="A155" s="116">
        <v>153</v>
      </c>
      <c r="B155" s="152" t="s">
        <v>814</v>
      </c>
      <c r="C155" s="121" t="s">
        <v>815</v>
      </c>
      <c r="D155" s="151" t="s">
        <v>202</v>
      </c>
      <c r="E155" s="132" t="s">
        <v>814</v>
      </c>
      <c r="F155" s="118" t="s">
        <v>325</v>
      </c>
      <c r="G155" s="118" t="s">
        <v>469</v>
      </c>
      <c r="H155" s="118" t="s">
        <v>816</v>
      </c>
      <c r="I155" s="118" t="s">
        <v>817</v>
      </c>
      <c r="J155" s="118" t="s">
        <v>818</v>
      </c>
      <c r="K155" s="118">
        <v>2014</v>
      </c>
      <c r="L155" s="119" t="s">
        <v>24</v>
      </c>
      <c r="M155" s="119" t="s">
        <v>25</v>
      </c>
      <c r="N155" s="118"/>
      <c r="O155" s="158" t="s">
        <v>819</v>
      </c>
      <c r="P155" s="168" t="s">
        <v>820</v>
      </c>
    </row>
    <row r="156" spans="1:16" s="1" customFormat="1" ht="55.2" x14ac:dyDescent="0.3">
      <c r="A156" s="116">
        <v>154</v>
      </c>
      <c r="B156" s="152" t="s">
        <v>821</v>
      </c>
      <c r="C156" s="121" t="s">
        <v>822</v>
      </c>
      <c r="D156" s="151" t="s">
        <v>65</v>
      </c>
      <c r="E156" s="132" t="s">
        <v>821</v>
      </c>
      <c r="F156" s="118" t="s">
        <v>20</v>
      </c>
      <c r="G156" s="118" t="s">
        <v>65</v>
      </c>
      <c r="H156" s="118" t="s">
        <v>823</v>
      </c>
      <c r="I156" s="118" t="s">
        <v>616</v>
      </c>
      <c r="J156" s="118" t="s">
        <v>824</v>
      </c>
      <c r="K156" s="118">
        <v>2014</v>
      </c>
      <c r="L156" s="118" t="s">
        <v>69</v>
      </c>
      <c r="M156" s="118" t="s">
        <v>25</v>
      </c>
      <c r="N156" s="155" t="s">
        <v>2490</v>
      </c>
      <c r="O156" s="158" t="s">
        <v>825</v>
      </c>
      <c r="P156" s="168" t="s">
        <v>826</v>
      </c>
    </row>
    <row r="157" spans="1:16" s="1" customFormat="1" ht="27.6" x14ac:dyDescent="0.3">
      <c r="A157" s="116">
        <v>155</v>
      </c>
      <c r="B157" s="152" t="s">
        <v>827</v>
      </c>
      <c r="C157" s="121" t="s">
        <v>358</v>
      </c>
      <c r="D157" s="151" t="s">
        <v>359</v>
      </c>
      <c r="E157" s="132" t="s">
        <v>827</v>
      </c>
      <c r="F157" s="118" t="s">
        <v>20</v>
      </c>
      <c r="G157" s="118" t="s">
        <v>360</v>
      </c>
      <c r="H157" s="118" t="s">
        <v>37</v>
      </c>
      <c r="I157" s="118" t="s">
        <v>606</v>
      </c>
      <c r="J157" s="118" t="s">
        <v>828</v>
      </c>
      <c r="K157" s="118">
        <v>2014</v>
      </c>
      <c r="L157" s="118" t="s">
        <v>69</v>
      </c>
      <c r="M157" s="118" t="s">
        <v>25</v>
      </c>
      <c r="N157" s="118" t="s">
        <v>829</v>
      </c>
      <c r="O157" s="158" t="s">
        <v>830</v>
      </c>
      <c r="P157" s="168" t="s">
        <v>831</v>
      </c>
    </row>
    <row r="158" spans="1:16" s="1" customFormat="1" ht="91.2" customHeight="1" x14ac:dyDescent="0.3">
      <c r="A158" s="116">
        <v>156</v>
      </c>
      <c r="B158" s="152" t="s">
        <v>832</v>
      </c>
      <c r="C158" s="121" t="s">
        <v>833</v>
      </c>
      <c r="D158" s="151" t="s">
        <v>408</v>
      </c>
      <c r="E158" s="132" t="s">
        <v>832</v>
      </c>
      <c r="F158" s="118" t="s">
        <v>20</v>
      </c>
      <c r="G158" s="118" t="s">
        <v>21</v>
      </c>
      <c r="H158" s="118" t="s">
        <v>37</v>
      </c>
      <c r="I158" s="118" t="s">
        <v>165</v>
      </c>
      <c r="J158" s="118" t="s">
        <v>834</v>
      </c>
      <c r="K158" s="118">
        <v>2014</v>
      </c>
      <c r="L158" s="118" t="s">
        <v>54</v>
      </c>
      <c r="M158" s="118" t="s">
        <v>39</v>
      </c>
      <c r="N158" s="118"/>
      <c r="O158" s="158" t="s">
        <v>835</v>
      </c>
      <c r="P158" s="168"/>
    </row>
    <row r="159" spans="1:16" ht="43.2" customHeight="1" x14ac:dyDescent="0.3">
      <c r="A159" s="190">
        <v>157</v>
      </c>
      <c r="B159" s="152" t="s">
        <v>836</v>
      </c>
      <c r="C159" s="121" t="s">
        <v>837</v>
      </c>
      <c r="D159" s="151" t="s">
        <v>43</v>
      </c>
      <c r="E159" s="132" t="s">
        <v>836</v>
      </c>
      <c r="F159" s="118" t="s">
        <v>325</v>
      </c>
      <c r="G159" s="118" t="s">
        <v>21</v>
      </c>
      <c r="H159" s="118" t="s">
        <v>838</v>
      </c>
      <c r="I159" s="118" t="s">
        <v>67</v>
      </c>
      <c r="J159" s="118" t="s">
        <v>839</v>
      </c>
      <c r="K159" s="118">
        <v>2014</v>
      </c>
      <c r="L159" s="118" t="s">
        <v>840</v>
      </c>
      <c r="M159" s="118" t="s">
        <v>39</v>
      </c>
      <c r="N159" s="128"/>
      <c r="O159" s="159" t="s">
        <v>23</v>
      </c>
      <c r="P159" s="168"/>
    </row>
    <row r="160" spans="1:16" ht="52.2" customHeight="1" x14ac:dyDescent="0.3">
      <c r="A160" s="190">
        <v>158</v>
      </c>
      <c r="B160" s="152" t="s">
        <v>841</v>
      </c>
      <c r="C160" s="121" t="s">
        <v>842</v>
      </c>
      <c r="D160" s="151" t="s">
        <v>86</v>
      </c>
      <c r="E160" s="132" t="s">
        <v>841</v>
      </c>
      <c r="F160" s="118" t="s">
        <v>30</v>
      </c>
      <c r="G160" s="118" t="s">
        <v>21</v>
      </c>
      <c r="H160" s="118" t="s">
        <v>843</v>
      </c>
      <c r="I160" s="118" t="s">
        <v>844</v>
      </c>
      <c r="J160" s="118" t="s">
        <v>839</v>
      </c>
      <c r="K160" s="118">
        <v>2014</v>
      </c>
      <c r="L160" s="118" t="s">
        <v>845</v>
      </c>
      <c r="M160" s="118" t="s">
        <v>39</v>
      </c>
      <c r="N160" s="118"/>
      <c r="O160" s="158" t="s">
        <v>846</v>
      </c>
      <c r="P160" s="168"/>
    </row>
    <row r="161" spans="1:16" s="1" customFormat="1" ht="27.6" x14ac:dyDescent="0.3">
      <c r="A161" s="116">
        <v>159</v>
      </c>
      <c r="B161" s="152" t="s">
        <v>847</v>
      </c>
      <c r="C161" s="121" t="s">
        <v>848</v>
      </c>
      <c r="D161" s="151" t="s">
        <v>73</v>
      </c>
      <c r="E161" s="132" t="s">
        <v>847</v>
      </c>
      <c r="F161" s="118" t="s">
        <v>20</v>
      </c>
      <c r="G161" s="118" t="s">
        <v>21</v>
      </c>
      <c r="H161" s="118" t="s">
        <v>37</v>
      </c>
      <c r="I161" s="118" t="s">
        <v>606</v>
      </c>
      <c r="J161" s="118" t="s">
        <v>849</v>
      </c>
      <c r="K161" s="118">
        <v>2014</v>
      </c>
      <c r="L161" s="118" t="s">
        <v>54</v>
      </c>
      <c r="M161" s="118" t="s">
        <v>39</v>
      </c>
      <c r="N161" s="118"/>
      <c r="O161" s="158" t="s">
        <v>850</v>
      </c>
      <c r="P161" s="168" t="s">
        <v>851</v>
      </c>
    </row>
    <row r="162" spans="1:16" s="1" customFormat="1" ht="82.8" x14ac:dyDescent="0.3">
      <c r="A162" s="116">
        <v>160</v>
      </c>
      <c r="B162" s="152" t="s">
        <v>852</v>
      </c>
      <c r="C162" s="121" t="s">
        <v>853</v>
      </c>
      <c r="D162" s="151" t="s">
        <v>43</v>
      </c>
      <c r="E162" s="132" t="s">
        <v>852</v>
      </c>
      <c r="F162" s="118" t="s">
        <v>20</v>
      </c>
      <c r="G162" s="118" t="s">
        <v>21</v>
      </c>
      <c r="H162" s="118" t="s">
        <v>37</v>
      </c>
      <c r="I162" s="118" t="s">
        <v>46</v>
      </c>
      <c r="J162" s="118" t="s">
        <v>854</v>
      </c>
      <c r="K162" s="118">
        <v>2014</v>
      </c>
      <c r="L162" s="118" t="s">
        <v>24</v>
      </c>
      <c r="M162" s="118" t="s">
        <v>25</v>
      </c>
      <c r="N162" s="118"/>
      <c r="O162" s="158" t="s">
        <v>855</v>
      </c>
      <c r="P162" s="168"/>
    </row>
    <row r="163" spans="1:16" ht="39.450000000000003" customHeight="1" x14ac:dyDescent="0.3">
      <c r="A163" s="191">
        <v>161</v>
      </c>
      <c r="B163" s="152" t="s">
        <v>856</v>
      </c>
      <c r="C163" s="121" t="s">
        <v>857</v>
      </c>
      <c r="D163" s="151" t="s">
        <v>86</v>
      </c>
      <c r="E163" s="132" t="s">
        <v>856</v>
      </c>
      <c r="F163" s="118" t="s">
        <v>30</v>
      </c>
      <c r="G163" s="118" t="s">
        <v>21</v>
      </c>
      <c r="H163" s="118" t="s">
        <v>858</v>
      </c>
      <c r="I163" s="118" t="s">
        <v>165</v>
      </c>
      <c r="J163" s="118" t="s">
        <v>859</v>
      </c>
      <c r="K163" s="118">
        <v>2014</v>
      </c>
      <c r="L163" s="124" t="s">
        <v>90</v>
      </c>
      <c r="M163" s="118" t="s">
        <v>39</v>
      </c>
      <c r="N163" s="124" t="s">
        <v>860</v>
      </c>
      <c r="O163" s="159" t="s">
        <v>23</v>
      </c>
      <c r="P163" s="168"/>
    </row>
    <row r="164" spans="1:16" s="1" customFormat="1" ht="27.6" x14ac:dyDescent="0.3">
      <c r="A164" s="116">
        <v>162</v>
      </c>
      <c r="B164" s="152" t="s">
        <v>861</v>
      </c>
      <c r="C164" s="121" t="s">
        <v>862</v>
      </c>
      <c r="D164" s="151" t="s">
        <v>129</v>
      </c>
      <c r="E164" s="132" t="s">
        <v>861</v>
      </c>
      <c r="F164" s="118" t="s">
        <v>20</v>
      </c>
      <c r="G164" s="118" t="s">
        <v>21</v>
      </c>
      <c r="H164" s="118" t="s">
        <v>37</v>
      </c>
      <c r="I164" s="118" t="s">
        <v>863</v>
      </c>
      <c r="J164" s="118" t="s">
        <v>864</v>
      </c>
      <c r="K164" s="118">
        <v>2014</v>
      </c>
      <c r="L164" s="118" t="s">
        <v>69</v>
      </c>
      <c r="M164" s="118" t="s">
        <v>25</v>
      </c>
      <c r="N164" s="118"/>
      <c r="O164" s="158" t="s">
        <v>23</v>
      </c>
      <c r="P164" s="168"/>
    </row>
    <row r="165" spans="1:16" s="1" customFormat="1" ht="41.4" x14ac:dyDescent="0.3">
      <c r="A165" s="116">
        <v>163</v>
      </c>
      <c r="B165" s="152" t="s">
        <v>865</v>
      </c>
      <c r="C165" s="121" t="s">
        <v>862</v>
      </c>
      <c r="D165" s="151" t="s">
        <v>129</v>
      </c>
      <c r="E165" s="132" t="s">
        <v>865</v>
      </c>
      <c r="F165" s="118" t="s">
        <v>44</v>
      </c>
      <c r="G165" s="118" t="s">
        <v>21</v>
      </c>
      <c r="H165" s="118" t="s">
        <v>866</v>
      </c>
      <c r="I165" s="118" t="s">
        <v>453</v>
      </c>
      <c r="J165" s="118" t="s">
        <v>864</v>
      </c>
      <c r="K165" s="118">
        <v>2014</v>
      </c>
      <c r="L165" s="118" t="s">
        <v>24</v>
      </c>
      <c r="M165" s="118" t="s">
        <v>25</v>
      </c>
      <c r="N165" s="118"/>
      <c r="O165" s="158" t="s">
        <v>867</v>
      </c>
      <c r="P165" s="168"/>
    </row>
    <row r="166" spans="1:16" s="1" customFormat="1" ht="41.4" x14ac:dyDescent="0.3">
      <c r="A166" s="116">
        <v>164</v>
      </c>
      <c r="B166" s="152" t="s">
        <v>868</v>
      </c>
      <c r="C166" s="121" t="s">
        <v>862</v>
      </c>
      <c r="D166" s="151" t="s">
        <v>129</v>
      </c>
      <c r="E166" s="132" t="s">
        <v>868</v>
      </c>
      <c r="F166" s="118" t="s">
        <v>44</v>
      </c>
      <c r="G166" s="118" t="s">
        <v>21</v>
      </c>
      <c r="H166" s="118" t="s">
        <v>869</v>
      </c>
      <c r="I166" s="118" t="s">
        <v>105</v>
      </c>
      <c r="J166" s="118" t="s">
        <v>864</v>
      </c>
      <c r="K166" s="118">
        <v>2014</v>
      </c>
      <c r="L166" s="118" t="s">
        <v>24</v>
      </c>
      <c r="M166" s="118" t="s">
        <v>25</v>
      </c>
      <c r="N166" s="118"/>
      <c r="O166" s="158" t="s">
        <v>870</v>
      </c>
      <c r="P166" s="168"/>
    </row>
    <row r="167" spans="1:16" s="1" customFormat="1" ht="27.6" x14ac:dyDescent="0.3">
      <c r="A167" s="116">
        <v>165</v>
      </c>
      <c r="B167" s="152" t="s">
        <v>871</v>
      </c>
      <c r="C167" s="121" t="s">
        <v>872</v>
      </c>
      <c r="D167" s="151" t="s">
        <v>129</v>
      </c>
      <c r="E167" s="132" t="s">
        <v>871</v>
      </c>
      <c r="F167" s="118" t="s">
        <v>20</v>
      </c>
      <c r="G167" s="118" t="s">
        <v>21</v>
      </c>
      <c r="H167" s="118" t="s">
        <v>37</v>
      </c>
      <c r="I167" s="118" t="s">
        <v>453</v>
      </c>
      <c r="J167" s="118" t="s">
        <v>873</v>
      </c>
      <c r="K167" s="118">
        <v>2014</v>
      </c>
      <c r="L167" s="118" t="s">
        <v>69</v>
      </c>
      <c r="M167" s="118" t="s">
        <v>25</v>
      </c>
      <c r="N167" s="118" t="s">
        <v>874</v>
      </c>
      <c r="O167" s="158" t="s">
        <v>875</v>
      </c>
      <c r="P167" s="168"/>
    </row>
    <row r="168" spans="1:16" s="1" customFormat="1" ht="82.8" x14ac:dyDescent="0.3">
      <c r="A168" s="116">
        <v>166</v>
      </c>
      <c r="B168" s="152" t="s">
        <v>876</v>
      </c>
      <c r="C168" s="121" t="s">
        <v>872</v>
      </c>
      <c r="D168" s="151" t="s">
        <v>129</v>
      </c>
      <c r="E168" s="132" t="s">
        <v>876</v>
      </c>
      <c r="F168" s="118" t="s">
        <v>44</v>
      </c>
      <c r="G168" s="118" t="s">
        <v>21</v>
      </c>
      <c r="H168" s="118" t="s">
        <v>877</v>
      </c>
      <c r="I168" s="118" t="s">
        <v>453</v>
      </c>
      <c r="J168" s="118" t="s">
        <v>873</v>
      </c>
      <c r="K168" s="118">
        <v>2014</v>
      </c>
      <c r="L168" s="118" t="s">
        <v>69</v>
      </c>
      <c r="M168" s="118" t="s">
        <v>25</v>
      </c>
      <c r="N168" s="118"/>
      <c r="O168" s="158" t="s">
        <v>23</v>
      </c>
      <c r="P168" s="168"/>
    </row>
    <row r="169" spans="1:16" ht="41.4" x14ac:dyDescent="0.3">
      <c r="A169" s="190">
        <v>167</v>
      </c>
      <c r="B169" s="152" t="s">
        <v>878</v>
      </c>
      <c r="C169" s="121" t="s">
        <v>879</v>
      </c>
      <c r="D169" s="151" t="s">
        <v>65</v>
      </c>
      <c r="E169" s="132" t="s">
        <v>878</v>
      </c>
      <c r="F169" s="128" t="s">
        <v>20</v>
      </c>
      <c r="G169" s="118" t="s">
        <v>65</v>
      </c>
      <c r="H169" s="118" t="s">
        <v>37</v>
      </c>
      <c r="I169" s="118" t="s">
        <v>880</v>
      </c>
      <c r="J169" s="118" t="s">
        <v>881</v>
      </c>
      <c r="K169" s="118">
        <v>2014</v>
      </c>
      <c r="L169" s="118" t="s">
        <v>281</v>
      </c>
      <c r="M169" s="118" t="s">
        <v>39</v>
      </c>
      <c r="N169" s="128"/>
      <c r="O169" s="158" t="s">
        <v>234</v>
      </c>
      <c r="P169" s="168"/>
    </row>
    <row r="170" spans="1:16" s="1" customFormat="1" ht="27.6" x14ac:dyDescent="0.3">
      <c r="A170" s="116">
        <v>168</v>
      </c>
      <c r="B170" s="152" t="s">
        <v>882</v>
      </c>
      <c r="C170" s="121" t="s">
        <v>883</v>
      </c>
      <c r="D170" s="151" t="s">
        <v>35</v>
      </c>
      <c r="E170" s="132" t="s">
        <v>882</v>
      </c>
      <c r="F170" s="118" t="s">
        <v>20</v>
      </c>
      <c r="G170" s="118" t="s">
        <v>21</v>
      </c>
      <c r="H170" s="118" t="s">
        <v>884</v>
      </c>
      <c r="I170" s="118" t="s">
        <v>226</v>
      </c>
      <c r="J170" s="118" t="s">
        <v>885</v>
      </c>
      <c r="K170" s="118">
        <v>2014</v>
      </c>
      <c r="L170" s="118" t="s">
        <v>61</v>
      </c>
      <c r="M170" s="118" t="s">
        <v>25</v>
      </c>
      <c r="N170" s="118"/>
      <c r="O170" s="158" t="s">
        <v>23</v>
      </c>
      <c r="P170" s="168" t="s">
        <v>886</v>
      </c>
    </row>
    <row r="171" spans="1:16" s="1" customFormat="1" ht="55.2" x14ac:dyDescent="0.3">
      <c r="A171" s="116">
        <v>169</v>
      </c>
      <c r="B171" s="152" t="s">
        <v>887</v>
      </c>
      <c r="C171" s="121" t="s">
        <v>888</v>
      </c>
      <c r="D171" s="151" t="s">
        <v>129</v>
      </c>
      <c r="E171" s="132" t="s">
        <v>887</v>
      </c>
      <c r="F171" s="118" t="s">
        <v>20</v>
      </c>
      <c r="G171" s="118" t="s">
        <v>21</v>
      </c>
      <c r="H171" s="118" t="s">
        <v>889</v>
      </c>
      <c r="I171" s="118" t="s">
        <v>863</v>
      </c>
      <c r="J171" s="118" t="s">
        <v>890</v>
      </c>
      <c r="K171" s="118">
        <v>2014</v>
      </c>
      <c r="L171" s="118" t="s">
        <v>69</v>
      </c>
      <c r="M171" s="118" t="s">
        <v>25</v>
      </c>
      <c r="N171" s="118"/>
      <c r="O171" s="158" t="s">
        <v>23</v>
      </c>
      <c r="P171" s="168"/>
    </row>
    <row r="172" spans="1:16" s="1" customFormat="1" ht="55.2" x14ac:dyDescent="0.3">
      <c r="A172" s="135">
        <v>170</v>
      </c>
      <c r="B172" s="152" t="s">
        <v>891</v>
      </c>
      <c r="C172" s="121" t="s">
        <v>888</v>
      </c>
      <c r="D172" s="151" t="s">
        <v>129</v>
      </c>
      <c r="E172" s="132" t="s">
        <v>891</v>
      </c>
      <c r="F172" s="118" t="s">
        <v>44</v>
      </c>
      <c r="G172" s="118" t="s">
        <v>21</v>
      </c>
      <c r="H172" s="118" t="s">
        <v>892</v>
      </c>
      <c r="I172" s="118" t="s">
        <v>863</v>
      </c>
      <c r="J172" s="118" t="s">
        <v>890</v>
      </c>
      <c r="K172" s="118">
        <v>2014</v>
      </c>
      <c r="L172" s="118" t="s">
        <v>54</v>
      </c>
      <c r="M172" s="118" t="s">
        <v>39</v>
      </c>
      <c r="N172" s="124" t="s">
        <v>893</v>
      </c>
      <c r="O172" s="158" t="s">
        <v>894</v>
      </c>
      <c r="P172" s="168"/>
    </row>
    <row r="173" spans="1:16" s="1" customFormat="1" ht="41.4" x14ac:dyDescent="0.3">
      <c r="A173" s="116">
        <v>171</v>
      </c>
      <c r="B173" s="152" t="s">
        <v>895</v>
      </c>
      <c r="C173" s="121" t="s">
        <v>896</v>
      </c>
      <c r="D173" s="151" t="s">
        <v>43</v>
      </c>
      <c r="E173" s="132" t="s">
        <v>895</v>
      </c>
      <c r="F173" s="118" t="s">
        <v>20</v>
      </c>
      <c r="G173" s="118" t="s">
        <v>21</v>
      </c>
      <c r="H173" s="118" t="s">
        <v>897</v>
      </c>
      <c r="I173" s="118" t="s">
        <v>165</v>
      </c>
      <c r="J173" s="118" t="s">
        <v>898</v>
      </c>
      <c r="K173" s="118">
        <v>2014</v>
      </c>
      <c r="L173" s="118" t="s">
        <v>54</v>
      </c>
      <c r="M173" s="118" t="s">
        <v>39</v>
      </c>
      <c r="N173" s="118" t="s">
        <v>899</v>
      </c>
      <c r="O173" s="158" t="s">
        <v>23</v>
      </c>
      <c r="P173" s="168"/>
    </row>
    <row r="174" spans="1:16" s="1" customFormat="1" ht="55.2" x14ac:dyDescent="0.3">
      <c r="A174" s="135">
        <v>172</v>
      </c>
      <c r="B174" s="152" t="s">
        <v>900</v>
      </c>
      <c r="C174" s="121" t="s">
        <v>901</v>
      </c>
      <c r="D174" s="151" t="s">
        <v>902</v>
      </c>
      <c r="E174" s="132" t="s">
        <v>900</v>
      </c>
      <c r="F174" s="118" t="s">
        <v>20</v>
      </c>
      <c r="G174" s="118" t="s">
        <v>21</v>
      </c>
      <c r="H174" s="118" t="s">
        <v>37</v>
      </c>
      <c r="I174" s="118" t="s">
        <v>903</v>
      </c>
      <c r="J174" s="118" t="s">
        <v>904</v>
      </c>
      <c r="K174" s="118">
        <v>2014</v>
      </c>
      <c r="L174" s="118" t="s">
        <v>24</v>
      </c>
      <c r="M174" s="118" t="s">
        <v>25</v>
      </c>
      <c r="N174" s="124" t="s">
        <v>905</v>
      </c>
      <c r="O174" s="158" t="s">
        <v>906</v>
      </c>
      <c r="P174" s="168" t="s">
        <v>907</v>
      </c>
    </row>
    <row r="175" spans="1:16" s="1" customFormat="1" ht="76.5" customHeight="1" x14ac:dyDescent="0.3">
      <c r="A175" s="135">
        <v>173</v>
      </c>
      <c r="B175" s="152" t="s">
        <v>908</v>
      </c>
      <c r="C175" s="121" t="s">
        <v>909</v>
      </c>
      <c r="D175" s="151" t="s">
        <v>99</v>
      </c>
      <c r="E175" s="132" t="s">
        <v>908</v>
      </c>
      <c r="F175" s="118" t="s">
        <v>44</v>
      </c>
      <c r="G175" s="118" t="s">
        <v>21</v>
      </c>
      <c r="H175" s="118" t="s">
        <v>910</v>
      </c>
      <c r="I175" s="118" t="s">
        <v>67</v>
      </c>
      <c r="J175" s="118" t="s">
        <v>911</v>
      </c>
      <c r="K175" s="118">
        <v>2014</v>
      </c>
      <c r="L175" s="118" t="s">
        <v>126</v>
      </c>
      <c r="M175" s="118" t="s">
        <v>25</v>
      </c>
      <c r="N175" s="124" t="s">
        <v>912</v>
      </c>
      <c r="O175" s="158" t="s">
        <v>23</v>
      </c>
      <c r="P175" s="168" t="s">
        <v>913</v>
      </c>
    </row>
    <row r="176" spans="1:16" ht="21" x14ac:dyDescent="0.3">
      <c r="A176" s="190">
        <v>174</v>
      </c>
      <c r="B176" s="152" t="s">
        <v>914</v>
      </c>
      <c r="C176" s="121" t="s">
        <v>915</v>
      </c>
      <c r="D176" s="151" t="s">
        <v>408</v>
      </c>
      <c r="E176" s="132" t="s">
        <v>914</v>
      </c>
      <c r="F176" s="118" t="s">
        <v>325</v>
      </c>
      <c r="G176" s="118" t="s">
        <v>21</v>
      </c>
      <c r="H176" s="118" t="s">
        <v>37</v>
      </c>
      <c r="I176" s="118" t="s">
        <v>916</v>
      </c>
      <c r="J176" s="118" t="s">
        <v>917</v>
      </c>
      <c r="K176" s="118">
        <v>2014</v>
      </c>
      <c r="L176" s="118" t="s">
        <v>167</v>
      </c>
      <c r="M176" s="118" t="s">
        <v>39</v>
      </c>
      <c r="N176" s="118" t="s">
        <v>918</v>
      </c>
      <c r="O176" s="159" t="s">
        <v>23</v>
      </c>
      <c r="P176" s="168"/>
    </row>
    <row r="177" spans="1:16" ht="41.4" x14ac:dyDescent="0.3">
      <c r="A177" s="190">
        <v>175</v>
      </c>
      <c r="B177" s="152" t="s">
        <v>919</v>
      </c>
      <c r="C177" s="121" t="s">
        <v>920</v>
      </c>
      <c r="D177" s="151" t="s">
        <v>202</v>
      </c>
      <c r="E177" s="132" t="s">
        <v>919</v>
      </c>
      <c r="F177" s="118" t="s">
        <v>44</v>
      </c>
      <c r="G177" s="118" t="s">
        <v>644</v>
      </c>
      <c r="H177" s="118" t="s">
        <v>921</v>
      </c>
      <c r="I177" s="118" t="s">
        <v>305</v>
      </c>
      <c r="J177" s="118" t="s">
        <v>922</v>
      </c>
      <c r="K177" s="118">
        <v>2014</v>
      </c>
      <c r="L177" s="118" t="s">
        <v>396</v>
      </c>
      <c r="M177" s="118" t="s">
        <v>39</v>
      </c>
      <c r="N177" s="118"/>
      <c r="O177" s="158" t="s">
        <v>923</v>
      </c>
      <c r="P177" s="168"/>
    </row>
    <row r="178" spans="1:16" s="1" customFormat="1" ht="55.2" x14ac:dyDescent="0.3">
      <c r="A178" s="116">
        <v>176</v>
      </c>
      <c r="B178" s="152" t="s">
        <v>924</v>
      </c>
      <c r="C178" s="121" t="s">
        <v>925</v>
      </c>
      <c r="D178" s="151" t="s">
        <v>202</v>
      </c>
      <c r="E178" s="132" t="s">
        <v>924</v>
      </c>
      <c r="F178" s="118" t="s">
        <v>30</v>
      </c>
      <c r="G178" s="118" t="s">
        <v>644</v>
      </c>
      <c r="H178" s="118" t="s">
        <v>921</v>
      </c>
      <c r="I178" s="118" t="s">
        <v>305</v>
      </c>
      <c r="J178" s="118" t="s">
        <v>926</v>
      </c>
      <c r="K178" s="118">
        <v>2014</v>
      </c>
      <c r="L178" s="118" t="s">
        <v>396</v>
      </c>
      <c r="M178" s="118" t="s">
        <v>25</v>
      </c>
      <c r="N178" s="124" t="s">
        <v>927</v>
      </c>
      <c r="O178" s="158" t="s">
        <v>23</v>
      </c>
      <c r="P178" s="168"/>
    </row>
    <row r="179" spans="1:16" ht="21" x14ac:dyDescent="0.3">
      <c r="A179" s="190">
        <v>177</v>
      </c>
      <c r="B179" s="152" t="s">
        <v>928</v>
      </c>
      <c r="C179" s="121" t="s">
        <v>929</v>
      </c>
      <c r="D179" s="151" t="s">
        <v>99</v>
      </c>
      <c r="E179" s="132" t="s">
        <v>928</v>
      </c>
      <c r="F179" s="118" t="s">
        <v>20</v>
      </c>
      <c r="G179" s="118" t="s">
        <v>21</v>
      </c>
      <c r="H179" s="118" t="s">
        <v>37</v>
      </c>
      <c r="I179" s="128" t="s">
        <v>517</v>
      </c>
      <c r="J179" s="118" t="s">
        <v>930</v>
      </c>
      <c r="K179" s="118">
        <v>2014</v>
      </c>
      <c r="L179" s="118" t="s">
        <v>38</v>
      </c>
      <c r="M179" s="118" t="s">
        <v>39</v>
      </c>
      <c r="N179" s="118"/>
      <c r="O179" s="159" t="s">
        <v>23</v>
      </c>
      <c r="P179" s="168"/>
    </row>
    <row r="180" spans="1:16" ht="36" x14ac:dyDescent="0.3">
      <c r="A180" s="191">
        <v>178</v>
      </c>
      <c r="B180" s="152" t="s">
        <v>931</v>
      </c>
      <c r="C180" s="121" t="s">
        <v>932</v>
      </c>
      <c r="D180" s="151" t="s">
        <v>933</v>
      </c>
      <c r="E180" s="132" t="s">
        <v>931</v>
      </c>
      <c r="F180" s="118" t="s">
        <v>44</v>
      </c>
      <c r="G180" s="118" t="s">
        <v>171</v>
      </c>
      <c r="H180" s="118" t="s">
        <v>934</v>
      </c>
      <c r="I180" s="118" t="s">
        <v>23</v>
      </c>
      <c r="J180" s="118" t="s">
        <v>797</v>
      </c>
      <c r="K180" s="118">
        <v>2014</v>
      </c>
      <c r="L180" s="118" t="s">
        <v>935</v>
      </c>
      <c r="M180" s="118" t="s">
        <v>39</v>
      </c>
      <c r="N180" s="124" t="s">
        <v>322</v>
      </c>
      <c r="O180" s="158" t="s">
        <v>23</v>
      </c>
      <c r="P180" s="168"/>
    </row>
    <row r="181" spans="1:16" s="1" customFormat="1" ht="36" x14ac:dyDescent="0.3">
      <c r="A181" s="116">
        <v>179</v>
      </c>
      <c r="B181" s="152" t="s">
        <v>936</v>
      </c>
      <c r="C181" s="121" t="s">
        <v>2505</v>
      </c>
      <c r="D181" s="151" t="s">
        <v>129</v>
      </c>
      <c r="E181" s="132" t="s">
        <v>936</v>
      </c>
      <c r="F181" s="118" t="s">
        <v>44</v>
      </c>
      <c r="G181" s="118" t="s">
        <v>21</v>
      </c>
      <c r="H181" s="118" t="s">
        <v>937</v>
      </c>
      <c r="I181" s="118" t="s">
        <v>23</v>
      </c>
      <c r="J181" s="118" t="s">
        <v>938</v>
      </c>
      <c r="K181" s="118">
        <v>2014</v>
      </c>
      <c r="L181" s="118" t="s">
        <v>54</v>
      </c>
      <c r="M181" s="118" t="s">
        <v>39</v>
      </c>
      <c r="N181" s="124" t="s">
        <v>939</v>
      </c>
      <c r="O181" s="158" t="s">
        <v>23</v>
      </c>
      <c r="P181" s="168" t="s">
        <v>940</v>
      </c>
    </row>
    <row r="182" spans="1:16" ht="21" x14ac:dyDescent="0.3">
      <c r="A182" s="129">
        <v>180</v>
      </c>
      <c r="B182" s="152" t="s">
        <v>941</v>
      </c>
      <c r="C182" s="121" t="s">
        <v>942</v>
      </c>
      <c r="D182" s="151" t="s">
        <v>43</v>
      </c>
      <c r="E182" s="132" t="s">
        <v>941</v>
      </c>
      <c r="F182" s="128" t="s">
        <v>20</v>
      </c>
      <c r="G182" s="118" t="s">
        <v>21</v>
      </c>
      <c r="H182" s="118" t="s">
        <v>37</v>
      </c>
      <c r="I182" s="128" t="s">
        <v>785</v>
      </c>
      <c r="J182" s="118" t="s">
        <v>943</v>
      </c>
      <c r="K182" s="118">
        <v>2015</v>
      </c>
      <c r="L182" s="118" t="s">
        <v>38</v>
      </c>
      <c r="M182" s="118" t="s">
        <v>39</v>
      </c>
      <c r="N182" s="128"/>
      <c r="O182" s="159" t="s">
        <v>23</v>
      </c>
      <c r="P182" s="168"/>
    </row>
    <row r="183" spans="1:16" ht="27.6" x14ac:dyDescent="0.3">
      <c r="A183" s="195">
        <v>181</v>
      </c>
      <c r="B183" s="152" t="s">
        <v>944</v>
      </c>
      <c r="C183" s="121" t="s">
        <v>945</v>
      </c>
      <c r="D183" s="151" t="s">
        <v>946</v>
      </c>
      <c r="E183" s="132" t="s">
        <v>944</v>
      </c>
      <c r="F183" s="118" t="s">
        <v>44</v>
      </c>
      <c r="G183" s="118" t="s">
        <v>21</v>
      </c>
      <c r="H183" s="118" t="s">
        <v>947</v>
      </c>
      <c r="I183" s="118" t="s">
        <v>948</v>
      </c>
      <c r="J183" s="118" t="s">
        <v>949</v>
      </c>
      <c r="K183" s="118">
        <v>2015</v>
      </c>
      <c r="L183" s="118" t="s">
        <v>61</v>
      </c>
      <c r="M183" s="118" t="s">
        <v>39</v>
      </c>
      <c r="N183" s="120" t="s">
        <v>499</v>
      </c>
      <c r="O183" s="158" t="s">
        <v>950</v>
      </c>
      <c r="P183" s="168"/>
    </row>
    <row r="184" spans="1:16" s="1" customFormat="1" ht="41.4" x14ac:dyDescent="0.3">
      <c r="A184" s="116">
        <v>182</v>
      </c>
      <c r="B184" s="152" t="s">
        <v>951</v>
      </c>
      <c r="C184" s="121" t="s">
        <v>952</v>
      </c>
      <c r="D184" s="151" t="s">
        <v>86</v>
      </c>
      <c r="E184" s="132" t="s">
        <v>951</v>
      </c>
      <c r="F184" s="118" t="s">
        <v>20</v>
      </c>
      <c r="G184" s="118" t="s">
        <v>21</v>
      </c>
      <c r="H184" s="118" t="s">
        <v>953</v>
      </c>
      <c r="I184" s="118" t="s">
        <v>165</v>
      </c>
      <c r="J184" s="118" t="s">
        <v>954</v>
      </c>
      <c r="K184" s="118">
        <v>2015</v>
      </c>
      <c r="L184" s="118" t="s">
        <v>54</v>
      </c>
      <c r="M184" s="118" t="s">
        <v>39</v>
      </c>
      <c r="N184" s="118"/>
      <c r="O184" s="158" t="s">
        <v>955</v>
      </c>
      <c r="P184" s="168"/>
    </row>
    <row r="185" spans="1:16" s="1" customFormat="1" ht="54" x14ac:dyDescent="0.3">
      <c r="A185" s="116">
        <v>183</v>
      </c>
      <c r="B185" s="152" t="s">
        <v>956</v>
      </c>
      <c r="C185" s="121" t="s">
        <v>957</v>
      </c>
      <c r="D185" s="151" t="s">
        <v>202</v>
      </c>
      <c r="E185" s="132" t="s">
        <v>956</v>
      </c>
      <c r="F185" s="118" t="s">
        <v>325</v>
      </c>
      <c r="G185" s="118" t="s">
        <v>469</v>
      </c>
      <c r="H185" s="118" t="s">
        <v>958</v>
      </c>
      <c r="I185" s="118" t="s">
        <v>959</v>
      </c>
      <c r="J185" s="118" t="s">
        <v>960</v>
      </c>
      <c r="K185" s="118">
        <v>2015</v>
      </c>
      <c r="L185" s="118" t="s">
        <v>961</v>
      </c>
      <c r="M185" s="118" t="s">
        <v>25</v>
      </c>
      <c r="N185" s="118"/>
      <c r="O185" s="158" t="s">
        <v>23</v>
      </c>
      <c r="P185" s="168" t="s">
        <v>962</v>
      </c>
    </row>
    <row r="186" spans="1:16" s="1" customFormat="1" ht="21" x14ac:dyDescent="0.3">
      <c r="A186" s="116">
        <v>184</v>
      </c>
      <c r="B186" s="152" t="s">
        <v>963</v>
      </c>
      <c r="C186" s="121" t="s">
        <v>964</v>
      </c>
      <c r="D186" s="151" t="s">
        <v>965</v>
      </c>
      <c r="E186" s="132" t="s">
        <v>963</v>
      </c>
      <c r="F186" s="118" t="s">
        <v>325</v>
      </c>
      <c r="G186" s="118" t="s">
        <v>21</v>
      </c>
      <c r="H186" s="118" t="s">
        <v>37</v>
      </c>
      <c r="I186" s="118" t="s">
        <v>785</v>
      </c>
      <c r="J186" s="118" t="s">
        <v>966</v>
      </c>
      <c r="K186" s="118">
        <v>2015</v>
      </c>
      <c r="L186" s="118" t="s">
        <v>24</v>
      </c>
      <c r="M186" s="118" t="s">
        <v>25</v>
      </c>
      <c r="N186" s="118"/>
      <c r="O186" s="158" t="s">
        <v>23</v>
      </c>
      <c r="P186" s="168"/>
    </row>
    <row r="187" spans="1:16" ht="60.75" customHeight="1" x14ac:dyDescent="0.3">
      <c r="A187" s="133">
        <v>185</v>
      </c>
      <c r="B187" s="152" t="s">
        <v>967</v>
      </c>
      <c r="C187" s="121" t="s">
        <v>648</v>
      </c>
      <c r="D187" s="151" t="s">
        <v>202</v>
      </c>
      <c r="E187" s="132" t="s">
        <v>967</v>
      </c>
      <c r="F187" s="118" t="s">
        <v>44</v>
      </c>
      <c r="G187" s="118" t="s">
        <v>469</v>
      </c>
      <c r="H187" s="118" t="s">
        <v>649</v>
      </c>
      <c r="I187" s="118" t="s">
        <v>650</v>
      </c>
      <c r="J187" s="136" t="s">
        <v>968</v>
      </c>
      <c r="K187" s="118">
        <v>2015</v>
      </c>
      <c r="L187" s="118" t="s">
        <v>969</v>
      </c>
      <c r="M187" s="118" t="s">
        <v>39</v>
      </c>
      <c r="N187" s="124" t="s">
        <v>970</v>
      </c>
      <c r="O187" s="158" t="s">
        <v>375</v>
      </c>
      <c r="P187" s="168"/>
    </row>
    <row r="188" spans="1:16" s="1" customFormat="1" ht="21" x14ac:dyDescent="0.3">
      <c r="A188" s="207">
        <v>186</v>
      </c>
      <c r="B188" s="152" t="s">
        <v>971</v>
      </c>
      <c r="C188" s="121" t="s">
        <v>972</v>
      </c>
      <c r="D188" s="151" t="s">
        <v>682</v>
      </c>
      <c r="E188" s="132" t="s">
        <v>971</v>
      </c>
      <c r="F188" s="118" t="s">
        <v>20</v>
      </c>
      <c r="G188" s="118" t="s">
        <v>21</v>
      </c>
      <c r="H188" s="118" t="s">
        <v>37</v>
      </c>
      <c r="I188" s="118" t="s">
        <v>165</v>
      </c>
      <c r="J188" s="118" t="s">
        <v>973</v>
      </c>
      <c r="K188" s="118">
        <v>2015</v>
      </c>
      <c r="L188" s="118" t="s">
        <v>314</v>
      </c>
      <c r="M188" s="118" t="s">
        <v>25</v>
      </c>
      <c r="N188" s="155" t="s">
        <v>974</v>
      </c>
      <c r="O188" s="158" t="s">
        <v>23</v>
      </c>
      <c r="P188" s="168"/>
    </row>
    <row r="189" spans="1:16" ht="31.95" customHeight="1" x14ac:dyDescent="0.3">
      <c r="A189" s="129">
        <v>187</v>
      </c>
      <c r="B189" s="152" t="s">
        <v>975</v>
      </c>
      <c r="C189" s="121" t="s">
        <v>976</v>
      </c>
      <c r="D189" s="151" t="s">
        <v>202</v>
      </c>
      <c r="E189" s="132" t="s">
        <v>975</v>
      </c>
      <c r="F189" s="118" t="s">
        <v>325</v>
      </c>
      <c r="G189" s="118" t="s">
        <v>469</v>
      </c>
      <c r="H189" s="118" t="s">
        <v>977</v>
      </c>
      <c r="I189" s="118" t="s">
        <v>978</v>
      </c>
      <c r="J189" s="118" t="s">
        <v>979</v>
      </c>
      <c r="K189" s="118">
        <v>2015</v>
      </c>
      <c r="L189" s="118" t="s">
        <v>980</v>
      </c>
      <c r="M189" s="118" t="s">
        <v>39</v>
      </c>
      <c r="N189" s="118"/>
      <c r="O189" s="158" t="s">
        <v>981</v>
      </c>
      <c r="P189" s="168"/>
    </row>
    <row r="190" spans="1:16" s="1" customFormat="1" ht="21" x14ac:dyDescent="0.3">
      <c r="A190" s="116">
        <v>188</v>
      </c>
      <c r="B190" s="152" t="s">
        <v>982</v>
      </c>
      <c r="C190" s="121" t="s">
        <v>983</v>
      </c>
      <c r="D190" s="151" t="s">
        <v>99</v>
      </c>
      <c r="E190" s="132" t="s">
        <v>982</v>
      </c>
      <c r="F190" s="118" t="s">
        <v>20</v>
      </c>
      <c r="G190" s="118" t="s">
        <v>21</v>
      </c>
      <c r="H190" s="118" t="s">
        <v>37</v>
      </c>
      <c r="I190" s="118" t="s">
        <v>105</v>
      </c>
      <c r="J190" s="118" t="s">
        <v>984</v>
      </c>
      <c r="K190" s="118">
        <v>2015</v>
      </c>
      <c r="L190" s="118" t="s">
        <v>314</v>
      </c>
      <c r="M190" s="118" t="s">
        <v>39</v>
      </c>
      <c r="N190" s="118"/>
      <c r="O190" s="158" t="s">
        <v>23</v>
      </c>
      <c r="P190" s="168"/>
    </row>
    <row r="191" spans="1:16" s="1" customFormat="1" ht="69" x14ac:dyDescent="0.3">
      <c r="A191" s="116">
        <v>189</v>
      </c>
      <c r="B191" s="152" t="s">
        <v>985</v>
      </c>
      <c r="C191" s="121" t="s">
        <v>986</v>
      </c>
      <c r="D191" s="151" t="s">
        <v>202</v>
      </c>
      <c r="E191" s="132" t="s">
        <v>985</v>
      </c>
      <c r="F191" s="118" t="s">
        <v>30</v>
      </c>
      <c r="G191" s="118" t="s">
        <v>644</v>
      </c>
      <c r="H191" s="118" t="s">
        <v>921</v>
      </c>
      <c r="I191" s="118" t="s">
        <v>305</v>
      </c>
      <c r="J191" s="118" t="s">
        <v>987</v>
      </c>
      <c r="K191" s="118">
        <v>2015</v>
      </c>
      <c r="L191" s="118" t="s">
        <v>396</v>
      </c>
      <c r="M191" s="118" t="s">
        <v>25</v>
      </c>
      <c r="N191" s="124" t="s">
        <v>988</v>
      </c>
      <c r="O191" s="158" t="s">
        <v>23</v>
      </c>
      <c r="P191" s="168"/>
    </row>
    <row r="192" spans="1:16" ht="33.6" customHeight="1" x14ac:dyDescent="0.3">
      <c r="A192" s="188">
        <v>190</v>
      </c>
      <c r="B192" s="152" t="s">
        <v>989</v>
      </c>
      <c r="C192" s="121" t="s">
        <v>990</v>
      </c>
      <c r="D192" s="151" t="s">
        <v>99</v>
      </c>
      <c r="E192" s="132" t="s">
        <v>989</v>
      </c>
      <c r="F192" s="118" t="s">
        <v>325</v>
      </c>
      <c r="G192" s="118" t="s">
        <v>629</v>
      </c>
      <c r="H192" s="118" t="s">
        <v>991</v>
      </c>
      <c r="I192" s="118" t="s">
        <v>992</v>
      </c>
      <c r="J192" s="118" t="s">
        <v>993</v>
      </c>
      <c r="K192" s="118">
        <v>2015</v>
      </c>
      <c r="L192" s="118" t="s">
        <v>994</v>
      </c>
      <c r="M192" s="118" t="s">
        <v>39</v>
      </c>
      <c r="N192" s="124" t="s">
        <v>995</v>
      </c>
      <c r="O192" s="159" t="s">
        <v>23</v>
      </c>
      <c r="P192" s="168"/>
    </row>
    <row r="193" spans="1:16" s="1" customFormat="1" ht="27.6" x14ac:dyDescent="0.3">
      <c r="A193" s="116">
        <v>191</v>
      </c>
      <c r="B193" s="152" t="s">
        <v>996</v>
      </c>
      <c r="C193" s="121" t="s">
        <v>997</v>
      </c>
      <c r="D193" s="151" t="s">
        <v>99</v>
      </c>
      <c r="E193" s="132" t="s">
        <v>996</v>
      </c>
      <c r="F193" s="118" t="s">
        <v>44</v>
      </c>
      <c r="G193" s="118" t="s">
        <v>21</v>
      </c>
      <c r="H193" s="118" t="s">
        <v>998</v>
      </c>
      <c r="I193" s="118" t="s">
        <v>226</v>
      </c>
      <c r="J193" s="118" t="s">
        <v>999</v>
      </c>
      <c r="K193" s="118">
        <v>2015</v>
      </c>
      <c r="L193" s="118" t="s">
        <v>90</v>
      </c>
      <c r="M193" s="118" t="s">
        <v>25</v>
      </c>
      <c r="N193" s="124" t="s">
        <v>1000</v>
      </c>
      <c r="O193" s="158" t="s">
        <v>23</v>
      </c>
      <c r="P193" s="168"/>
    </row>
    <row r="194" spans="1:16" s="1" customFormat="1" ht="21" x14ac:dyDescent="0.3">
      <c r="A194" s="116">
        <v>192</v>
      </c>
      <c r="B194" s="152" t="s">
        <v>1001</v>
      </c>
      <c r="C194" s="121" t="s">
        <v>1002</v>
      </c>
      <c r="D194" s="151" t="s">
        <v>99</v>
      </c>
      <c r="E194" s="132" t="s">
        <v>1001</v>
      </c>
      <c r="F194" s="118" t="s">
        <v>20</v>
      </c>
      <c r="G194" s="118" t="s">
        <v>21</v>
      </c>
      <c r="H194" s="118" t="s">
        <v>37</v>
      </c>
      <c r="I194" s="118" t="s">
        <v>165</v>
      </c>
      <c r="J194" s="118" t="s">
        <v>1003</v>
      </c>
      <c r="K194" s="118">
        <v>2015</v>
      </c>
      <c r="L194" s="118" t="s">
        <v>54</v>
      </c>
      <c r="M194" s="118" t="s">
        <v>39</v>
      </c>
      <c r="N194" s="118"/>
      <c r="O194" s="158" t="s">
        <v>23</v>
      </c>
      <c r="P194" s="168" t="s">
        <v>1004</v>
      </c>
    </row>
    <row r="195" spans="1:16" s="1" customFormat="1" ht="55.2" x14ac:dyDescent="0.3">
      <c r="A195" s="116">
        <v>193</v>
      </c>
      <c r="B195" s="152" t="s">
        <v>1005</v>
      </c>
      <c r="C195" s="121" t="s">
        <v>1006</v>
      </c>
      <c r="D195" s="151" t="s">
        <v>94</v>
      </c>
      <c r="E195" s="132" t="s">
        <v>1005</v>
      </c>
      <c r="F195" s="118" t="s">
        <v>20</v>
      </c>
      <c r="G195" s="118" t="s">
        <v>21</v>
      </c>
      <c r="H195" s="118" t="s">
        <v>37</v>
      </c>
      <c r="I195" s="118" t="s">
        <v>606</v>
      </c>
      <c r="J195" s="118" t="s">
        <v>1007</v>
      </c>
      <c r="K195" s="118">
        <v>2015</v>
      </c>
      <c r="L195" s="118" t="s">
        <v>69</v>
      </c>
      <c r="M195" s="118" t="s">
        <v>25</v>
      </c>
      <c r="N195" s="118"/>
      <c r="O195" s="158" t="s">
        <v>1008</v>
      </c>
      <c r="P195" s="168" t="s">
        <v>1009</v>
      </c>
    </row>
    <row r="196" spans="1:16" ht="41.4" x14ac:dyDescent="0.3">
      <c r="A196" s="116">
        <v>194</v>
      </c>
      <c r="B196" s="152" t="s">
        <v>1010</v>
      </c>
      <c r="C196" s="121" t="s">
        <v>210</v>
      </c>
      <c r="D196" s="151" t="s">
        <v>43</v>
      </c>
      <c r="E196" s="132" t="s">
        <v>1010</v>
      </c>
      <c r="F196" s="128" t="s">
        <v>44</v>
      </c>
      <c r="G196" s="118" t="s">
        <v>21</v>
      </c>
      <c r="H196" s="118" t="s">
        <v>1011</v>
      </c>
      <c r="I196" s="128" t="s">
        <v>226</v>
      </c>
      <c r="J196" s="118" t="s">
        <v>1012</v>
      </c>
      <c r="K196" s="118">
        <v>2015</v>
      </c>
      <c r="L196" s="118" t="s">
        <v>38</v>
      </c>
      <c r="M196" s="118" t="s">
        <v>39</v>
      </c>
      <c r="N196" s="128"/>
      <c r="O196" s="159" t="s">
        <v>23</v>
      </c>
      <c r="P196" s="168" t="s">
        <v>1013</v>
      </c>
    </row>
    <row r="197" spans="1:16" s="1" customFormat="1" ht="69" x14ac:dyDescent="0.3">
      <c r="A197" s="116">
        <v>195</v>
      </c>
      <c r="B197" s="152" t="s">
        <v>1014</v>
      </c>
      <c r="C197" s="121" t="s">
        <v>1015</v>
      </c>
      <c r="D197" s="151" t="s">
        <v>65</v>
      </c>
      <c r="E197" s="132" t="s">
        <v>1014</v>
      </c>
      <c r="F197" s="118" t="s">
        <v>20</v>
      </c>
      <c r="G197" s="118" t="s">
        <v>21</v>
      </c>
      <c r="H197" s="118" t="s">
        <v>37</v>
      </c>
      <c r="I197" s="118" t="s">
        <v>67</v>
      </c>
      <c r="J197" s="118" t="s">
        <v>1016</v>
      </c>
      <c r="K197" s="118">
        <v>2015</v>
      </c>
      <c r="L197" s="118" t="s">
        <v>314</v>
      </c>
      <c r="M197" s="118" t="s">
        <v>39</v>
      </c>
      <c r="N197" s="124" t="s">
        <v>1017</v>
      </c>
      <c r="O197" s="158" t="s">
        <v>1018</v>
      </c>
      <c r="P197" s="168"/>
    </row>
    <row r="198" spans="1:16" ht="54" customHeight="1" x14ac:dyDescent="0.3">
      <c r="A198" s="133">
        <v>196</v>
      </c>
      <c r="B198" s="152" t="s">
        <v>1019</v>
      </c>
      <c r="C198" s="121" t="s">
        <v>1020</v>
      </c>
      <c r="D198" s="151" t="s">
        <v>86</v>
      </c>
      <c r="E198" s="132" t="s">
        <v>1019</v>
      </c>
      <c r="F198" s="118" t="s">
        <v>30</v>
      </c>
      <c r="G198" s="118" t="s">
        <v>21</v>
      </c>
      <c r="H198" s="118" t="s">
        <v>37</v>
      </c>
      <c r="I198" s="128" t="s">
        <v>331</v>
      </c>
      <c r="J198" s="118" t="s">
        <v>1021</v>
      </c>
      <c r="K198" s="118">
        <v>2015</v>
      </c>
      <c r="L198" s="118" t="s">
        <v>38</v>
      </c>
      <c r="M198" s="118" t="s">
        <v>39</v>
      </c>
      <c r="N198" s="124" t="s">
        <v>1022</v>
      </c>
      <c r="O198" s="158" t="s">
        <v>1023</v>
      </c>
      <c r="P198" s="168"/>
    </row>
    <row r="199" spans="1:16" s="1" customFormat="1" ht="69" x14ac:dyDescent="0.3">
      <c r="A199" s="116">
        <v>197</v>
      </c>
      <c r="B199" s="152" t="s">
        <v>1024</v>
      </c>
      <c r="C199" s="121" t="s">
        <v>1025</v>
      </c>
      <c r="D199" s="151" t="s">
        <v>99</v>
      </c>
      <c r="E199" s="132" t="s">
        <v>1024</v>
      </c>
      <c r="F199" s="118" t="s">
        <v>20</v>
      </c>
      <c r="G199" s="118" t="s">
        <v>21</v>
      </c>
      <c r="H199" s="118" t="s">
        <v>1026</v>
      </c>
      <c r="I199" s="118" t="s">
        <v>1027</v>
      </c>
      <c r="J199" s="118" t="s">
        <v>1028</v>
      </c>
      <c r="K199" s="118">
        <v>2016</v>
      </c>
      <c r="L199" s="118" t="s">
        <v>54</v>
      </c>
      <c r="M199" s="118" t="s">
        <v>39</v>
      </c>
      <c r="N199" s="118"/>
      <c r="O199" s="158" t="s">
        <v>1029</v>
      </c>
      <c r="P199" s="168"/>
    </row>
    <row r="200" spans="1:16" ht="70.2" customHeight="1" x14ac:dyDescent="0.3">
      <c r="A200" s="133">
        <v>198</v>
      </c>
      <c r="B200" s="152" t="s">
        <v>1030</v>
      </c>
      <c r="C200" s="121" t="s">
        <v>1031</v>
      </c>
      <c r="D200" s="151" t="s">
        <v>202</v>
      </c>
      <c r="E200" s="132" t="s">
        <v>1030</v>
      </c>
      <c r="F200" s="118" t="s">
        <v>325</v>
      </c>
      <c r="G200" s="118" t="s">
        <v>21</v>
      </c>
      <c r="H200" s="118" t="s">
        <v>37</v>
      </c>
      <c r="I200" s="128" t="s">
        <v>192</v>
      </c>
      <c r="J200" s="118" t="s">
        <v>1032</v>
      </c>
      <c r="K200" s="118">
        <v>2016</v>
      </c>
      <c r="L200" s="118" t="s">
        <v>167</v>
      </c>
      <c r="M200" s="118" t="s">
        <v>39</v>
      </c>
      <c r="N200" s="128"/>
      <c r="O200" s="159" t="s">
        <v>23</v>
      </c>
      <c r="P200" s="168" t="s">
        <v>1033</v>
      </c>
    </row>
    <row r="201" spans="1:16" s="1" customFormat="1" ht="21" x14ac:dyDescent="0.3">
      <c r="A201" s="116">
        <v>199</v>
      </c>
      <c r="B201" s="152" t="s">
        <v>1034</v>
      </c>
      <c r="C201" s="121" t="s">
        <v>1035</v>
      </c>
      <c r="D201" s="151" t="s">
        <v>19</v>
      </c>
      <c r="E201" s="132" t="s">
        <v>1034</v>
      </c>
      <c r="F201" s="118" t="s">
        <v>20</v>
      </c>
      <c r="G201" s="118" t="s">
        <v>21</v>
      </c>
      <c r="H201" s="118" t="s">
        <v>37</v>
      </c>
      <c r="I201" s="118" t="s">
        <v>226</v>
      </c>
      <c r="J201" s="118" t="s">
        <v>1036</v>
      </c>
      <c r="K201" s="118">
        <v>2016</v>
      </c>
      <c r="L201" s="118" t="s">
        <v>54</v>
      </c>
      <c r="M201" s="118" t="s">
        <v>39</v>
      </c>
      <c r="N201" s="118"/>
      <c r="O201" s="158" t="s">
        <v>23</v>
      </c>
      <c r="P201" s="168" t="s">
        <v>1037</v>
      </c>
    </row>
    <row r="202" spans="1:16" s="1" customFormat="1" ht="21" x14ac:dyDescent="0.3">
      <c r="A202" s="116">
        <v>200</v>
      </c>
      <c r="B202" s="152" t="s">
        <v>1038</v>
      </c>
      <c r="C202" s="121" t="s">
        <v>1035</v>
      </c>
      <c r="D202" s="151" t="s">
        <v>19</v>
      </c>
      <c r="E202" s="132" t="s">
        <v>1038</v>
      </c>
      <c r="F202" s="118" t="s">
        <v>44</v>
      </c>
      <c r="G202" s="118" t="s">
        <v>21</v>
      </c>
      <c r="H202" s="118" t="s">
        <v>1039</v>
      </c>
      <c r="I202" s="118" t="s">
        <v>226</v>
      </c>
      <c r="J202" s="118" t="s">
        <v>1036</v>
      </c>
      <c r="K202" s="118">
        <v>2016</v>
      </c>
      <c r="L202" s="118" t="s">
        <v>54</v>
      </c>
      <c r="M202" s="118" t="s">
        <v>39</v>
      </c>
      <c r="N202" s="118"/>
      <c r="O202" s="158" t="s">
        <v>23</v>
      </c>
      <c r="P202" s="168" t="s">
        <v>1037</v>
      </c>
    </row>
    <row r="203" spans="1:16" s="1" customFormat="1" ht="32.700000000000003" customHeight="1" x14ac:dyDescent="0.3">
      <c r="A203" s="116">
        <v>201</v>
      </c>
      <c r="B203" s="152" t="s">
        <v>1040</v>
      </c>
      <c r="C203" s="121" t="s">
        <v>1041</v>
      </c>
      <c r="D203" s="151" t="s">
        <v>1042</v>
      </c>
      <c r="E203" s="132" t="s">
        <v>1040</v>
      </c>
      <c r="F203" s="118" t="s">
        <v>20</v>
      </c>
      <c r="G203" s="118" t="s">
        <v>21</v>
      </c>
      <c r="H203" s="118" t="s">
        <v>37</v>
      </c>
      <c r="I203" s="118" t="s">
        <v>305</v>
      </c>
      <c r="J203" s="118" t="s">
        <v>1043</v>
      </c>
      <c r="K203" s="118">
        <v>2016</v>
      </c>
      <c r="L203" s="118" t="s">
        <v>1044</v>
      </c>
      <c r="M203" s="118" t="s">
        <v>25</v>
      </c>
      <c r="N203" s="118" t="s">
        <v>1045</v>
      </c>
      <c r="O203" s="158" t="s">
        <v>23</v>
      </c>
      <c r="P203" s="168"/>
    </row>
    <row r="204" spans="1:16" s="1" customFormat="1" ht="41.4" x14ac:dyDescent="0.3">
      <c r="A204" s="116">
        <v>202</v>
      </c>
      <c r="B204" s="152" t="s">
        <v>1046</v>
      </c>
      <c r="C204" s="121" t="s">
        <v>354</v>
      </c>
      <c r="D204" s="151" t="s">
        <v>99</v>
      </c>
      <c r="E204" s="132" t="s">
        <v>1046</v>
      </c>
      <c r="F204" s="118" t="s">
        <v>20</v>
      </c>
      <c r="G204" s="118" t="s">
        <v>21</v>
      </c>
      <c r="H204" s="118" t="s">
        <v>37</v>
      </c>
      <c r="I204" s="118" t="s">
        <v>606</v>
      </c>
      <c r="J204" s="118" t="s">
        <v>1047</v>
      </c>
      <c r="K204" s="118">
        <v>2016</v>
      </c>
      <c r="L204" s="118" t="s">
        <v>54</v>
      </c>
      <c r="M204" s="118" t="s">
        <v>39</v>
      </c>
      <c r="N204" s="118" t="s">
        <v>1048</v>
      </c>
      <c r="O204" s="158" t="s">
        <v>1049</v>
      </c>
      <c r="P204" s="168" t="s">
        <v>1050</v>
      </c>
    </row>
    <row r="205" spans="1:16" s="1" customFormat="1" ht="41.4" x14ac:dyDescent="0.3">
      <c r="A205" s="137">
        <v>203</v>
      </c>
      <c r="B205" s="152" t="s">
        <v>1051</v>
      </c>
      <c r="C205" s="121" t="s">
        <v>354</v>
      </c>
      <c r="D205" s="151" t="s">
        <v>99</v>
      </c>
      <c r="E205" s="132" t="s">
        <v>1051</v>
      </c>
      <c r="F205" s="118" t="s">
        <v>44</v>
      </c>
      <c r="G205" s="118" t="s">
        <v>21</v>
      </c>
      <c r="H205" s="118" t="s">
        <v>1052</v>
      </c>
      <c r="I205" s="118" t="s">
        <v>606</v>
      </c>
      <c r="J205" s="118" t="s">
        <v>1047</v>
      </c>
      <c r="K205" s="118">
        <v>2016</v>
      </c>
      <c r="L205" s="118" t="s">
        <v>54</v>
      </c>
      <c r="M205" s="118" t="s">
        <v>39</v>
      </c>
      <c r="N205" s="120" t="s">
        <v>1053</v>
      </c>
      <c r="O205" s="158" t="s">
        <v>1049</v>
      </c>
      <c r="P205" s="168" t="s">
        <v>1054</v>
      </c>
    </row>
    <row r="206" spans="1:16" s="1" customFormat="1" ht="54" x14ac:dyDescent="0.3">
      <c r="A206" s="116">
        <v>204</v>
      </c>
      <c r="B206" s="152" t="s">
        <v>1055</v>
      </c>
      <c r="C206" s="121" t="s">
        <v>1056</v>
      </c>
      <c r="D206" s="151" t="s">
        <v>202</v>
      </c>
      <c r="E206" s="132" t="s">
        <v>1055</v>
      </c>
      <c r="F206" s="118" t="s">
        <v>20</v>
      </c>
      <c r="G206" s="118" t="s">
        <v>469</v>
      </c>
      <c r="H206" s="118" t="s">
        <v>1057</v>
      </c>
      <c r="I206" s="118" t="s">
        <v>785</v>
      </c>
      <c r="J206" s="118" t="s">
        <v>1058</v>
      </c>
      <c r="K206" s="118">
        <v>2016</v>
      </c>
      <c r="L206" s="118" t="s">
        <v>116</v>
      </c>
      <c r="M206" s="118" t="s">
        <v>25</v>
      </c>
      <c r="N206" s="124" t="s">
        <v>1059</v>
      </c>
      <c r="O206" s="158" t="s">
        <v>23</v>
      </c>
      <c r="P206" s="168"/>
    </row>
    <row r="207" spans="1:16" s="1" customFormat="1" ht="21" x14ac:dyDescent="0.3">
      <c r="A207" s="116">
        <v>205</v>
      </c>
      <c r="B207" s="152" t="s">
        <v>1060</v>
      </c>
      <c r="C207" s="121" t="s">
        <v>997</v>
      </c>
      <c r="D207" s="151" t="s">
        <v>99</v>
      </c>
      <c r="E207" s="132" t="s">
        <v>1060</v>
      </c>
      <c r="F207" s="118" t="s">
        <v>20</v>
      </c>
      <c r="G207" s="118" t="s">
        <v>21</v>
      </c>
      <c r="H207" s="118" t="s">
        <v>37</v>
      </c>
      <c r="I207" s="118" t="s">
        <v>226</v>
      </c>
      <c r="J207" s="118" t="s">
        <v>1061</v>
      </c>
      <c r="K207" s="118">
        <v>2016</v>
      </c>
      <c r="L207" s="118" t="s">
        <v>54</v>
      </c>
      <c r="M207" s="118" t="s">
        <v>39</v>
      </c>
      <c r="N207" s="118"/>
      <c r="O207" s="158" t="s">
        <v>23</v>
      </c>
      <c r="P207" s="168" t="s">
        <v>1062</v>
      </c>
    </row>
    <row r="208" spans="1:16" s="1" customFormat="1" ht="69" x14ac:dyDescent="0.3">
      <c r="A208" s="116">
        <v>206</v>
      </c>
      <c r="B208" s="152" t="s">
        <v>1063</v>
      </c>
      <c r="C208" s="117" t="s">
        <v>1064</v>
      </c>
      <c r="D208" s="151" t="s">
        <v>99</v>
      </c>
      <c r="E208" s="132" t="s">
        <v>1063</v>
      </c>
      <c r="F208" s="118" t="s">
        <v>44</v>
      </c>
      <c r="G208" s="118" t="s">
        <v>171</v>
      </c>
      <c r="H208" s="118" t="s">
        <v>1065</v>
      </c>
      <c r="I208" s="118" t="s">
        <v>916</v>
      </c>
      <c r="J208" s="118" t="s">
        <v>1066</v>
      </c>
      <c r="K208" s="118">
        <v>2016</v>
      </c>
      <c r="L208" s="118" t="s">
        <v>1067</v>
      </c>
      <c r="M208" s="118" t="s">
        <v>39</v>
      </c>
      <c r="N208" s="118"/>
      <c r="O208" s="158" t="s">
        <v>23</v>
      </c>
      <c r="P208" s="168" t="s">
        <v>1068</v>
      </c>
    </row>
    <row r="209" spans="1:16" ht="36" x14ac:dyDescent="0.3">
      <c r="A209" s="116">
        <v>207</v>
      </c>
      <c r="B209" s="152" t="s">
        <v>1069</v>
      </c>
      <c r="C209" s="121" t="s">
        <v>879</v>
      </c>
      <c r="D209" s="151" t="s">
        <v>65</v>
      </c>
      <c r="E209" s="132" t="s">
        <v>1069</v>
      </c>
      <c r="F209" s="128" t="s">
        <v>325</v>
      </c>
      <c r="G209" s="118" t="s">
        <v>65</v>
      </c>
      <c r="H209" s="118" t="s">
        <v>37</v>
      </c>
      <c r="I209" s="118" t="s">
        <v>1070</v>
      </c>
      <c r="J209" s="118" t="s">
        <v>1071</v>
      </c>
      <c r="K209" s="118">
        <v>2016</v>
      </c>
      <c r="L209" s="118" t="s">
        <v>718</v>
      </c>
      <c r="M209" s="118" t="s">
        <v>39</v>
      </c>
      <c r="N209" s="118" t="s">
        <v>1072</v>
      </c>
      <c r="O209" s="159" t="s">
        <v>23</v>
      </c>
      <c r="P209" s="168"/>
    </row>
    <row r="210" spans="1:16" s="1" customFormat="1" ht="27.6" x14ac:dyDescent="0.3">
      <c r="A210" s="116">
        <v>208</v>
      </c>
      <c r="B210" s="152" t="s">
        <v>1073</v>
      </c>
      <c r="C210" s="121" t="s">
        <v>1074</v>
      </c>
      <c r="D210" s="151" t="s">
        <v>86</v>
      </c>
      <c r="E210" s="132" t="s">
        <v>1073</v>
      </c>
      <c r="F210" s="118" t="s">
        <v>20</v>
      </c>
      <c r="G210" s="118" t="s">
        <v>21</v>
      </c>
      <c r="H210" s="118" t="s">
        <v>37</v>
      </c>
      <c r="I210" s="118" t="s">
        <v>1075</v>
      </c>
      <c r="J210" s="118" t="s">
        <v>1076</v>
      </c>
      <c r="K210" s="118">
        <v>2016</v>
      </c>
      <c r="L210" s="118" t="s">
        <v>54</v>
      </c>
      <c r="M210" s="118" t="s">
        <v>39</v>
      </c>
      <c r="N210" s="118"/>
      <c r="O210" s="158" t="s">
        <v>23</v>
      </c>
      <c r="P210" s="168"/>
    </row>
    <row r="211" spans="1:16" s="1" customFormat="1" ht="41.4" x14ac:dyDescent="0.3">
      <c r="A211" s="116">
        <v>209</v>
      </c>
      <c r="B211" s="152" t="s">
        <v>1077</v>
      </c>
      <c r="C211" s="121" t="s">
        <v>1078</v>
      </c>
      <c r="D211" s="151" t="s">
        <v>682</v>
      </c>
      <c r="E211" s="132" t="s">
        <v>1077</v>
      </c>
      <c r="F211" s="118" t="s">
        <v>325</v>
      </c>
      <c r="G211" s="118" t="s">
        <v>171</v>
      </c>
      <c r="H211" s="118" t="s">
        <v>1079</v>
      </c>
      <c r="I211" s="118" t="s">
        <v>183</v>
      </c>
      <c r="J211" s="118" t="s">
        <v>1080</v>
      </c>
      <c r="K211" s="118">
        <v>2016</v>
      </c>
      <c r="L211" s="118" t="s">
        <v>1081</v>
      </c>
      <c r="M211" s="118" t="s">
        <v>25</v>
      </c>
      <c r="N211" s="118"/>
      <c r="O211" s="158" t="s">
        <v>23</v>
      </c>
      <c r="P211" s="168" t="s">
        <v>1082</v>
      </c>
    </row>
    <row r="212" spans="1:16" s="1" customFormat="1" ht="36" x14ac:dyDescent="0.3">
      <c r="A212" s="116">
        <v>210</v>
      </c>
      <c r="B212" s="152" t="s">
        <v>1083</v>
      </c>
      <c r="C212" s="149" t="s">
        <v>1084</v>
      </c>
      <c r="D212" s="151" t="s">
        <v>202</v>
      </c>
      <c r="E212" s="132" t="s">
        <v>1083</v>
      </c>
      <c r="F212" s="118" t="s">
        <v>325</v>
      </c>
      <c r="G212" s="118" t="s">
        <v>469</v>
      </c>
      <c r="H212" s="118" t="s">
        <v>1085</v>
      </c>
      <c r="I212" s="118" t="s">
        <v>67</v>
      </c>
      <c r="J212" s="118" t="s">
        <v>1086</v>
      </c>
      <c r="K212" s="118">
        <v>2016</v>
      </c>
      <c r="L212" s="118" t="s">
        <v>1087</v>
      </c>
      <c r="M212" s="118" t="s">
        <v>25</v>
      </c>
      <c r="N212" s="118"/>
      <c r="O212" s="158" t="s">
        <v>23</v>
      </c>
      <c r="P212" s="132" t="s">
        <v>2498</v>
      </c>
    </row>
    <row r="213" spans="1:16" s="1" customFormat="1" ht="36" x14ac:dyDescent="0.3">
      <c r="A213" s="116">
        <v>211</v>
      </c>
      <c r="B213" s="152" t="s">
        <v>1088</v>
      </c>
      <c r="C213" s="121" t="s">
        <v>384</v>
      </c>
      <c r="D213" s="151" t="s">
        <v>65</v>
      </c>
      <c r="E213" s="132" t="s">
        <v>1088</v>
      </c>
      <c r="F213" s="118" t="s">
        <v>20</v>
      </c>
      <c r="G213" s="118" t="s">
        <v>65</v>
      </c>
      <c r="H213" s="118" t="s">
        <v>37</v>
      </c>
      <c r="I213" s="118" t="s">
        <v>517</v>
      </c>
      <c r="J213" s="118" t="s">
        <v>1089</v>
      </c>
      <c r="K213" s="118">
        <v>2016</v>
      </c>
      <c r="L213" s="118" t="s">
        <v>24</v>
      </c>
      <c r="M213" s="118" t="s">
        <v>25</v>
      </c>
      <c r="N213" s="118"/>
      <c r="O213" s="158" t="s">
        <v>23</v>
      </c>
      <c r="P213" s="168"/>
    </row>
    <row r="214" spans="1:16" ht="41.4" x14ac:dyDescent="0.3">
      <c r="A214" s="116">
        <v>212</v>
      </c>
      <c r="B214" s="152" t="s">
        <v>1090</v>
      </c>
      <c r="C214" s="121" t="s">
        <v>384</v>
      </c>
      <c r="D214" s="151" t="s">
        <v>65</v>
      </c>
      <c r="E214" s="132" t="s">
        <v>1090</v>
      </c>
      <c r="F214" s="128" t="s">
        <v>44</v>
      </c>
      <c r="G214" s="118" t="s">
        <v>65</v>
      </c>
      <c r="H214" s="118" t="s">
        <v>1091</v>
      </c>
      <c r="I214" s="128" t="s">
        <v>517</v>
      </c>
      <c r="J214" s="118" t="s">
        <v>1089</v>
      </c>
      <c r="K214" s="118">
        <v>2016</v>
      </c>
      <c r="L214" s="118" t="s">
        <v>1092</v>
      </c>
      <c r="M214" s="118" t="s">
        <v>39</v>
      </c>
      <c r="N214" s="124" t="s">
        <v>1093</v>
      </c>
      <c r="O214" s="159" t="s">
        <v>23</v>
      </c>
      <c r="P214" s="168"/>
    </row>
    <row r="215" spans="1:16" s="1" customFormat="1" ht="36" x14ac:dyDescent="0.3">
      <c r="A215" s="116">
        <v>213</v>
      </c>
      <c r="B215" s="152" t="s">
        <v>1094</v>
      </c>
      <c r="C215" s="121" t="s">
        <v>1095</v>
      </c>
      <c r="D215" s="151" t="s">
        <v>447</v>
      </c>
      <c r="E215" s="132" t="s">
        <v>1094</v>
      </c>
      <c r="F215" s="118" t="s">
        <v>20</v>
      </c>
      <c r="G215" s="118" t="s">
        <v>21</v>
      </c>
      <c r="H215" s="118" t="s">
        <v>37</v>
      </c>
      <c r="I215" s="118" t="s">
        <v>165</v>
      </c>
      <c r="J215" s="118" t="s">
        <v>1096</v>
      </c>
      <c r="K215" s="118">
        <v>2016</v>
      </c>
      <c r="L215" s="118" t="s">
        <v>24</v>
      </c>
      <c r="M215" s="118" t="s">
        <v>25</v>
      </c>
      <c r="N215" s="124" t="s">
        <v>1097</v>
      </c>
      <c r="O215" s="158" t="s">
        <v>23</v>
      </c>
      <c r="P215" s="168" t="s">
        <v>1098</v>
      </c>
    </row>
    <row r="216" spans="1:16" ht="27.6" x14ac:dyDescent="0.3">
      <c r="A216" s="189">
        <v>214</v>
      </c>
      <c r="B216" s="152" t="s">
        <v>1099</v>
      </c>
      <c r="C216" s="121" t="s">
        <v>1100</v>
      </c>
      <c r="D216" s="151" t="s">
        <v>564</v>
      </c>
      <c r="E216" s="132" t="s">
        <v>1099</v>
      </c>
      <c r="F216" s="128" t="s">
        <v>44</v>
      </c>
      <c r="G216" s="118" t="s">
        <v>469</v>
      </c>
      <c r="H216" s="118" t="s">
        <v>1101</v>
      </c>
      <c r="I216" s="128" t="s">
        <v>606</v>
      </c>
      <c r="J216" s="118" t="s">
        <v>1102</v>
      </c>
      <c r="K216" s="118">
        <v>2016</v>
      </c>
      <c r="L216" s="118" t="s">
        <v>1103</v>
      </c>
      <c r="M216" s="118" t="s">
        <v>39</v>
      </c>
      <c r="N216" s="118"/>
      <c r="O216" s="159" t="s">
        <v>23</v>
      </c>
      <c r="P216" s="168"/>
    </row>
    <row r="217" spans="1:16" s="1" customFormat="1" ht="27.6" x14ac:dyDescent="0.3">
      <c r="A217" s="116">
        <v>215</v>
      </c>
      <c r="B217" s="152" t="s">
        <v>1104</v>
      </c>
      <c r="C217" s="121" t="s">
        <v>1105</v>
      </c>
      <c r="D217" s="151" t="s">
        <v>86</v>
      </c>
      <c r="E217" s="132" t="s">
        <v>1104</v>
      </c>
      <c r="F217" s="118" t="s">
        <v>1106</v>
      </c>
      <c r="G217" s="118" t="s">
        <v>171</v>
      </c>
      <c r="H217" s="118" t="s">
        <v>1107</v>
      </c>
      <c r="I217" s="118" t="s">
        <v>1108</v>
      </c>
      <c r="J217" s="118" t="s">
        <v>1109</v>
      </c>
      <c r="K217" s="118">
        <v>2016</v>
      </c>
      <c r="L217" s="118" t="s">
        <v>24</v>
      </c>
      <c r="M217" s="118" t="s">
        <v>25</v>
      </c>
      <c r="N217" s="118"/>
      <c r="O217" s="158" t="s">
        <v>23</v>
      </c>
      <c r="P217" s="168"/>
    </row>
    <row r="218" spans="1:16" s="1" customFormat="1" ht="27.6" x14ac:dyDescent="0.3">
      <c r="A218" s="116">
        <v>216</v>
      </c>
      <c r="B218" s="152" t="s">
        <v>1110</v>
      </c>
      <c r="C218" s="121" t="s">
        <v>358</v>
      </c>
      <c r="D218" s="151" t="s">
        <v>359</v>
      </c>
      <c r="E218" s="132" t="s">
        <v>1110</v>
      </c>
      <c r="F218" s="118" t="s">
        <v>325</v>
      </c>
      <c r="G218" s="118" t="s">
        <v>360</v>
      </c>
      <c r="H218" s="118" t="s">
        <v>1111</v>
      </c>
      <c r="I218" s="118" t="s">
        <v>785</v>
      </c>
      <c r="J218" s="118" t="s">
        <v>1112</v>
      </c>
      <c r="K218" s="118">
        <v>2016</v>
      </c>
      <c r="L218" s="118" t="s">
        <v>24</v>
      </c>
      <c r="M218" s="118" t="s">
        <v>25</v>
      </c>
      <c r="N218" s="118"/>
      <c r="O218" s="158" t="s">
        <v>23</v>
      </c>
      <c r="P218" s="168"/>
    </row>
    <row r="219" spans="1:16" s="1" customFormat="1" ht="27.6" x14ac:dyDescent="0.3">
      <c r="A219" s="116">
        <v>217</v>
      </c>
      <c r="B219" s="152" t="s">
        <v>1113</v>
      </c>
      <c r="C219" s="121" t="s">
        <v>358</v>
      </c>
      <c r="D219" s="151" t="s">
        <v>359</v>
      </c>
      <c r="E219" s="132" t="s">
        <v>1113</v>
      </c>
      <c r="F219" s="118" t="s">
        <v>44</v>
      </c>
      <c r="G219" s="118" t="s">
        <v>360</v>
      </c>
      <c r="H219" s="118" t="s">
        <v>1114</v>
      </c>
      <c r="I219" s="118" t="s">
        <v>305</v>
      </c>
      <c r="J219" s="118" t="s">
        <v>1112</v>
      </c>
      <c r="K219" s="118">
        <v>2016</v>
      </c>
      <c r="L219" s="118" t="s">
        <v>193</v>
      </c>
      <c r="M219" s="118" t="s">
        <v>25</v>
      </c>
      <c r="N219" s="118"/>
      <c r="O219" s="158" t="s">
        <v>23</v>
      </c>
      <c r="P219" s="168"/>
    </row>
    <row r="220" spans="1:16" s="1" customFormat="1" ht="41.4" x14ac:dyDescent="0.3">
      <c r="A220" s="116">
        <v>218</v>
      </c>
      <c r="B220" s="152" t="s">
        <v>1115</v>
      </c>
      <c r="C220" s="121" t="s">
        <v>1116</v>
      </c>
      <c r="D220" s="151" t="s">
        <v>86</v>
      </c>
      <c r="E220" s="132" t="s">
        <v>1115</v>
      </c>
      <c r="F220" s="118" t="s">
        <v>325</v>
      </c>
      <c r="G220" s="118" t="s">
        <v>21</v>
      </c>
      <c r="H220" s="118" t="s">
        <v>37</v>
      </c>
      <c r="I220" s="118" t="s">
        <v>226</v>
      </c>
      <c r="J220" s="118" t="s">
        <v>1117</v>
      </c>
      <c r="K220" s="118">
        <v>2016</v>
      </c>
      <c r="L220" s="118" t="s">
        <v>1118</v>
      </c>
      <c r="M220" s="118" t="s">
        <v>39</v>
      </c>
      <c r="N220" s="124" t="s">
        <v>1119</v>
      </c>
      <c r="O220" s="158" t="s">
        <v>23</v>
      </c>
      <c r="P220" s="168"/>
    </row>
    <row r="221" spans="1:16" s="1" customFormat="1" ht="27.6" x14ac:dyDescent="0.3">
      <c r="A221" s="116">
        <v>219</v>
      </c>
      <c r="B221" s="152" t="s">
        <v>1120</v>
      </c>
      <c r="C221" s="121" t="s">
        <v>1121</v>
      </c>
      <c r="D221" s="151" t="s">
        <v>1122</v>
      </c>
      <c r="E221" s="132" t="s">
        <v>1120</v>
      </c>
      <c r="F221" s="118" t="s">
        <v>20</v>
      </c>
      <c r="G221" s="118" t="s">
        <v>171</v>
      </c>
      <c r="H221" s="118" t="s">
        <v>37</v>
      </c>
      <c r="I221" s="118" t="s">
        <v>165</v>
      </c>
      <c r="J221" s="118" t="s">
        <v>1123</v>
      </c>
      <c r="K221" s="118">
        <v>2016</v>
      </c>
      <c r="L221" s="118" t="s">
        <v>24</v>
      </c>
      <c r="M221" s="118" t="s">
        <v>25</v>
      </c>
      <c r="N221" s="124" t="s">
        <v>1124</v>
      </c>
      <c r="O221" s="158" t="s">
        <v>23</v>
      </c>
      <c r="P221" s="168"/>
    </row>
    <row r="222" spans="1:16" s="1" customFormat="1" ht="27.6" x14ac:dyDescent="0.3">
      <c r="A222" s="116">
        <v>220</v>
      </c>
      <c r="B222" s="152" t="s">
        <v>1125</v>
      </c>
      <c r="C222" s="121" t="s">
        <v>1126</v>
      </c>
      <c r="D222" s="151" t="s">
        <v>19</v>
      </c>
      <c r="E222" s="132" t="s">
        <v>1125</v>
      </c>
      <c r="F222" s="118" t="s">
        <v>325</v>
      </c>
      <c r="G222" s="118" t="s">
        <v>21</v>
      </c>
      <c r="H222" s="118" t="s">
        <v>37</v>
      </c>
      <c r="I222" s="118" t="s">
        <v>785</v>
      </c>
      <c r="J222" s="118" t="s">
        <v>1127</v>
      </c>
      <c r="K222" s="118">
        <v>2016</v>
      </c>
      <c r="L222" s="118" t="s">
        <v>961</v>
      </c>
      <c r="M222" s="118" t="s">
        <v>25</v>
      </c>
      <c r="N222" s="118"/>
      <c r="O222" s="158" t="s">
        <v>23</v>
      </c>
      <c r="P222" s="168"/>
    </row>
    <row r="223" spans="1:16" s="1" customFormat="1" ht="21" x14ac:dyDescent="0.3">
      <c r="A223" s="116">
        <v>221</v>
      </c>
      <c r="B223" s="152" t="s">
        <v>1128</v>
      </c>
      <c r="C223" s="121" t="s">
        <v>1129</v>
      </c>
      <c r="D223" s="151" t="s">
        <v>43</v>
      </c>
      <c r="E223" s="132" t="s">
        <v>1128</v>
      </c>
      <c r="F223" s="118" t="s">
        <v>20</v>
      </c>
      <c r="G223" s="118" t="s">
        <v>21</v>
      </c>
      <c r="H223" s="118" t="s">
        <v>37</v>
      </c>
      <c r="I223" s="118" t="s">
        <v>192</v>
      </c>
      <c r="J223" s="118" t="s">
        <v>1130</v>
      </c>
      <c r="K223" s="118">
        <v>2016</v>
      </c>
      <c r="L223" s="118" t="s">
        <v>38</v>
      </c>
      <c r="M223" s="118" t="s">
        <v>39</v>
      </c>
      <c r="N223" s="118"/>
      <c r="O223" s="158" t="s">
        <v>23</v>
      </c>
      <c r="P223" s="168"/>
    </row>
    <row r="224" spans="1:16" s="1" customFormat="1" ht="27.6" x14ac:dyDescent="0.3">
      <c r="A224" s="116">
        <v>222</v>
      </c>
      <c r="B224" s="152" t="s">
        <v>1131</v>
      </c>
      <c r="C224" s="121" t="s">
        <v>1132</v>
      </c>
      <c r="D224" s="151" t="s">
        <v>19</v>
      </c>
      <c r="E224" s="132" t="s">
        <v>1131</v>
      </c>
      <c r="F224" s="118" t="s">
        <v>20</v>
      </c>
      <c r="G224" s="118" t="s">
        <v>87</v>
      </c>
      <c r="H224" s="118" t="s">
        <v>1133</v>
      </c>
      <c r="I224" s="118" t="s">
        <v>785</v>
      </c>
      <c r="J224" s="118" t="s">
        <v>1134</v>
      </c>
      <c r="K224" s="118">
        <v>2017</v>
      </c>
      <c r="L224" s="118" t="s">
        <v>54</v>
      </c>
      <c r="M224" s="118" t="s">
        <v>39</v>
      </c>
      <c r="N224" s="118"/>
      <c r="O224" s="158" t="s">
        <v>23</v>
      </c>
      <c r="P224" s="168"/>
    </row>
    <row r="225" spans="1:16" ht="48" customHeight="1" x14ac:dyDescent="0.3">
      <c r="A225" s="116">
        <v>223</v>
      </c>
      <c r="B225" s="152" t="s">
        <v>1135</v>
      </c>
      <c r="C225" s="121" t="s">
        <v>879</v>
      </c>
      <c r="D225" s="151" t="s">
        <v>65</v>
      </c>
      <c r="E225" s="132" t="s">
        <v>1135</v>
      </c>
      <c r="F225" s="128" t="s">
        <v>44</v>
      </c>
      <c r="G225" s="118" t="s">
        <v>171</v>
      </c>
      <c r="H225" s="118" t="s">
        <v>1136</v>
      </c>
      <c r="I225" s="128" t="s">
        <v>165</v>
      </c>
      <c r="J225" s="118" t="s">
        <v>1137</v>
      </c>
      <c r="K225" s="118">
        <v>2017</v>
      </c>
      <c r="L225" s="118" t="s">
        <v>167</v>
      </c>
      <c r="M225" s="118" t="s">
        <v>39</v>
      </c>
      <c r="N225" s="118"/>
      <c r="O225" s="159" t="s">
        <v>23</v>
      </c>
      <c r="P225" s="168" t="s">
        <v>1138</v>
      </c>
    </row>
    <row r="226" spans="1:16" ht="41.4" x14ac:dyDescent="0.3">
      <c r="A226" s="116">
        <v>224</v>
      </c>
      <c r="B226" s="152" t="s">
        <v>1139</v>
      </c>
      <c r="C226" s="121" t="s">
        <v>329</v>
      </c>
      <c r="D226" s="151" t="s">
        <v>86</v>
      </c>
      <c r="E226" s="132" t="s">
        <v>1139</v>
      </c>
      <c r="F226" s="128" t="s">
        <v>325</v>
      </c>
      <c r="G226" s="118" t="s">
        <v>171</v>
      </c>
      <c r="H226" s="118" t="s">
        <v>1140</v>
      </c>
      <c r="I226" s="128" t="s">
        <v>165</v>
      </c>
      <c r="J226" s="124" t="s">
        <v>1141</v>
      </c>
      <c r="K226" s="118">
        <v>2017</v>
      </c>
      <c r="L226" s="118" t="s">
        <v>473</v>
      </c>
      <c r="M226" s="118" t="s">
        <v>39</v>
      </c>
      <c r="N226" s="124" t="s">
        <v>1142</v>
      </c>
      <c r="O226" s="159" t="s">
        <v>23</v>
      </c>
      <c r="P226" s="168"/>
    </row>
    <row r="227" spans="1:16" s="1" customFormat="1" ht="36" x14ac:dyDescent="0.3">
      <c r="A227" s="116">
        <v>225</v>
      </c>
      <c r="B227" s="152" t="s">
        <v>1143</v>
      </c>
      <c r="C227" s="121" t="s">
        <v>1144</v>
      </c>
      <c r="D227" s="151" t="s">
        <v>65</v>
      </c>
      <c r="E227" s="132" t="s">
        <v>1143</v>
      </c>
      <c r="F227" s="118" t="s">
        <v>20</v>
      </c>
      <c r="G227" s="118" t="s">
        <v>65</v>
      </c>
      <c r="H227" s="118" t="s">
        <v>37</v>
      </c>
      <c r="I227" s="118" t="s">
        <v>1144</v>
      </c>
      <c r="J227" s="118" t="s">
        <v>1145</v>
      </c>
      <c r="K227" s="118">
        <v>2017</v>
      </c>
      <c r="L227" s="118" t="s">
        <v>1146</v>
      </c>
      <c r="M227" s="118" t="s">
        <v>25</v>
      </c>
      <c r="N227" s="118"/>
      <c r="O227" s="158" t="s">
        <v>23</v>
      </c>
      <c r="P227" s="132" t="s">
        <v>2492</v>
      </c>
    </row>
    <row r="228" spans="1:16" s="1" customFormat="1" ht="27.6" x14ac:dyDescent="0.3">
      <c r="A228" s="116">
        <v>226</v>
      </c>
      <c r="B228" s="152" t="s">
        <v>1147</v>
      </c>
      <c r="C228" s="121" t="s">
        <v>1148</v>
      </c>
      <c r="D228" s="151" t="s">
        <v>202</v>
      </c>
      <c r="E228" s="132" t="s">
        <v>1147</v>
      </c>
      <c r="F228" s="118" t="s">
        <v>44</v>
      </c>
      <c r="G228" s="118" t="s">
        <v>469</v>
      </c>
      <c r="H228" s="118" t="s">
        <v>1149</v>
      </c>
      <c r="I228" s="118" t="s">
        <v>1150</v>
      </c>
      <c r="J228" s="118" t="s">
        <v>1151</v>
      </c>
      <c r="K228" s="118">
        <v>2017</v>
      </c>
      <c r="L228" s="118" t="s">
        <v>193</v>
      </c>
      <c r="M228" s="118" t="s">
        <v>25</v>
      </c>
      <c r="N228" s="118"/>
      <c r="O228" s="158" t="s">
        <v>23</v>
      </c>
      <c r="P228" s="168" t="s">
        <v>1152</v>
      </c>
    </row>
    <row r="229" spans="1:16" s="1" customFormat="1" ht="36" x14ac:dyDescent="0.3">
      <c r="A229" s="116">
        <v>227</v>
      </c>
      <c r="B229" s="152" t="s">
        <v>1153</v>
      </c>
      <c r="C229" s="121" t="s">
        <v>1154</v>
      </c>
      <c r="D229" s="151" t="s">
        <v>43</v>
      </c>
      <c r="E229" s="132" t="s">
        <v>1153</v>
      </c>
      <c r="F229" s="118" t="s">
        <v>20</v>
      </c>
      <c r="G229" s="118" t="s">
        <v>21</v>
      </c>
      <c r="H229" s="118" t="s">
        <v>37</v>
      </c>
      <c r="I229" s="118" t="s">
        <v>165</v>
      </c>
      <c r="J229" s="118" t="s">
        <v>1155</v>
      </c>
      <c r="K229" s="118">
        <v>2017</v>
      </c>
      <c r="L229" s="118" t="s">
        <v>24</v>
      </c>
      <c r="M229" s="118" t="s">
        <v>25</v>
      </c>
      <c r="N229" s="118"/>
      <c r="O229" s="158" t="s">
        <v>686</v>
      </c>
      <c r="P229" s="168" t="s">
        <v>1156</v>
      </c>
    </row>
    <row r="230" spans="1:16" s="1" customFormat="1" ht="79.2" customHeight="1" x14ac:dyDescent="0.3">
      <c r="A230" s="116">
        <v>228</v>
      </c>
      <c r="B230" s="152" t="s">
        <v>1157</v>
      </c>
      <c r="C230" s="121" t="s">
        <v>833</v>
      </c>
      <c r="D230" s="151" t="s">
        <v>408</v>
      </c>
      <c r="E230" s="132" t="s">
        <v>1157</v>
      </c>
      <c r="F230" s="118" t="s">
        <v>44</v>
      </c>
      <c r="G230" s="118" t="s">
        <v>21</v>
      </c>
      <c r="H230" s="118" t="s">
        <v>1158</v>
      </c>
      <c r="I230" s="118" t="s">
        <v>165</v>
      </c>
      <c r="J230" s="118" t="s">
        <v>1159</v>
      </c>
      <c r="K230" s="118">
        <v>2017</v>
      </c>
      <c r="L230" s="118" t="s">
        <v>38</v>
      </c>
      <c r="M230" s="118" t="s">
        <v>39</v>
      </c>
      <c r="N230" s="118"/>
      <c r="O230" s="158" t="s">
        <v>1160</v>
      </c>
      <c r="P230" s="168" t="s">
        <v>1161</v>
      </c>
    </row>
    <row r="231" spans="1:16" s="1" customFormat="1" ht="55.2" x14ac:dyDescent="0.3">
      <c r="A231" s="116">
        <v>229</v>
      </c>
      <c r="B231" s="152" t="s">
        <v>1162</v>
      </c>
      <c r="C231" s="121" t="s">
        <v>475</v>
      </c>
      <c r="D231" s="151" t="s">
        <v>99</v>
      </c>
      <c r="E231" s="132" t="s">
        <v>1162</v>
      </c>
      <c r="F231" s="118" t="s">
        <v>44</v>
      </c>
      <c r="G231" s="118" t="s">
        <v>171</v>
      </c>
      <c r="H231" s="118" t="s">
        <v>476</v>
      </c>
      <c r="I231" s="118" t="s">
        <v>305</v>
      </c>
      <c r="J231" s="118" t="s">
        <v>1163</v>
      </c>
      <c r="K231" s="118">
        <v>2017</v>
      </c>
      <c r="L231" s="118" t="s">
        <v>54</v>
      </c>
      <c r="M231" s="118" t="s">
        <v>39</v>
      </c>
      <c r="N231" s="118" t="s">
        <v>1164</v>
      </c>
      <c r="O231" s="160" t="s">
        <v>1165</v>
      </c>
      <c r="P231" s="168" t="s">
        <v>1166</v>
      </c>
    </row>
    <row r="232" spans="1:16" s="1" customFormat="1" ht="27.6" x14ac:dyDescent="0.3">
      <c r="A232" s="116">
        <v>230</v>
      </c>
      <c r="B232" s="152" t="s">
        <v>1167</v>
      </c>
      <c r="C232" s="121" t="s">
        <v>155</v>
      </c>
      <c r="D232" s="151" t="s">
        <v>43</v>
      </c>
      <c r="E232" s="132" t="s">
        <v>1167</v>
      </c>
      <c r="F232" s="118" t="s">
        <v>20</v>
      </c>
      <c r="G232" s="118" t="s">
        <v>21</v>
      </c>
      <c r="H232" s="118" t="s">
        <v>37</v>
      </c>
      <c r="I232" s="118" t="s">
        <v>165</v>
      </c>
      <c r="J232" s="118" t="s">
        <v>1168</v>
      </c>
      <c r="K232" s="118">
        <v>2017</v>
      </c>
      <c r="L232" s="118" t="s">
        <v>54</v>
      </c>
      <c r="M232" s="118" t="s">
        <v>39</v>
      </c>
      <c r="N232" s="118"/>
      <c r="O232" s="158" t="s">
        <v>1169</v>
      </c>
      <c r="P232" s="168"/>
    </row>
    <row r="233" spans="1:16" s="1" customFormat="1" ht="165.6" x14ac:dyDescent="0.3">
      <c r="A233" s="116">
        <v>231</v>
      </c>
      <c r="B233" s="152" t="s">
        <v>1170</v>
      </c>
      <c r="C233" s="121" t="s">
        <v>1171</v>
      </c>
      <c r="D233" s="151" t="s">
        <v>99</v>
      </c>
      <c r="E233" s="132" t="s">
        <v>1170</v>
      </c>
      <c r="F233" s="118" t="s">
        <v>20</v>
      </c>
      <c r="G233" s="118" t="s">
        <v>21</v>
      </c>
      <c r="H233" s="118" t="s">
        <v>37</v>
      </c>
      <c r="I233" s="118" t="s">
        <v>226</v>
      </c>
      <c r="J233" s="118" t="s">
        <v>1172</v>
      </c>
      <c r="K233" s="118">
        <v>2017</v>
      </c>
      <c r="L233" s="118" t="s">
        <v>69</v>
      </c>
      <c r="M233" s="118" t="s">
        <v>25</v>
      </c>
      <c r="N233" s="118"/>
      <c r="O233" s="160" t="s">
        <v>1173</v>
      </c>
      <c r="P233" s="168" t="s">
        <v>1174</v>
      </c>
    </row>
    <row r="234" spans="1:16" ht="23.4" customHeight="1" x14ac:dyDescent="0.3">
      <c r="A234" s="116">
        <v>232</v>
      </c>
      <c r="B234" s="152" t="s">
        <v>1175</v>
      </c>
      <c r="C234" s="121" t="s">
        <v>341</v>
      </c>
      <c r="D234" s="151" t="s">
        <v>99</v>
      </c>
      <c r="E234" s="132" t="s">
        <v>1175</v>
      </c>
      <c r="F234" s="128" t="s">
        <v>44</v>
      </c>
      <c r="G234" s="118" t="s">
        <v>21</v>
      </c>
      <c r="H234" s="118" t="s">
        <v>1176</v>
      </c>
      <c r="I234" s="118" t="s">
        <v>487</v>
      </c>
      <c r="J234" s="118" t="s">
        <v>1177</v>
      </c>
      <c r="K234" s="118">
        <v>2017</v>
      </c>
      <c r="L234" s="118" t="s">
        <v>281</v>
      </c>
      <c r="M234" s="118" t="s">
        <v>39</v>
      </c>
      <c r="N234" s="118"/>
      <c r="O234" s="158" t="s">
        <v>23</v>
      </c>
      <c r="P234" s="168" t="s">
        <v>1178</v>
      </c>
    </row>
    <row r="235" spans="1:16" s="1" customFormat="1" ht="44.4" customHeight="1" x14ac:dyDescent="0.3">
      <c r="A235" s="116">
        <v>233</v>
      </c>
      <c r="B235" s="152" t="s">
        <v>1179</v>
      </c>
      <c r="C235" s="121" t="s">
        <v>1180</v>
      </c>
      <c r="D235" s="151" t="s">
        <v>99</v>
      </c>
      <c r="E235" s="132" t="s">
        <v>1179</v>
      </c>
      <c r="F235" s="118" t="s">
        <v>20</v>
      </c>
      <c r="G235" s="118" t="s">
        <v>21</v>
      </c>
      <c r="H235" s="118" t="s">
        <v>37</v>
      </c>
      <c r="I235" s="118" t="s">
        <v>517</v>
      </c>
      <c r="J235" s="118" t="s">
        <v>1181</v>
      </c>
      <c r="K235" s="118">
        <v>2017</v>
      </c>
      <c r="L235" s="118" t="s">
        <v>54</v>
      </c>
      <c r="M235" s="118" t="s">
        <v>39</v>
      </c>
      <c r="N235" s="118"/>
      <c r="O235" s="158" t="s">
        <v>1182</v>
      </c>
      <c r="P235" s="168" t="s">
        <v>1183</v>
      </c>
    </row>
    <row r="236" spans="1:16" s="1" customFormat="1" ht="55.2" customHeight="1" x14ac:dyDescent="0.3">
      <c r="A236" s="116">
        <v>234</v>
      </c>
      <c r="B236" s="152" t="s">
        <v>1184</v>
      </c>
      <c r="C236" s="121" t="s">
        <v>1185</v>
      </c>
      <c r="D236" s="151" t="s">
        <v>86</v>
      </c>
      <c r="E236" s="132" t="s">
        <v>1184</v>
      </c>
      <c r="F236" s="118" t="s">
        <v>20</v>
      </c>
      <c r="G236" s="118" t="s">
        <v>87</v>
      </c>
      <c r="H236" s="118" t="s">
        <v>37</v>
      </c>
      <c r="I236" s="118" t="s">
        <v>785</v>
      </c>
      <c r="J236" s="118" t="s">
        <v>1186</v>
      </c>
      <c r="K236" s="118">
        <v>2017</v>
      </c>
      <c r="L236" s="118" t="s">
        <v>90</v>
      </c>
      <c r="M236" s="118" t="s">
        <v>25</v>
      </c>
      <c r="N236" s="118" t="s">
        <v>1187</v>
      </c>
      <c r="O236" s="158" t="s">
        <v>1188</v>
      </c>
      <c r="P236" s="168"/>
    </row>
    <row r="237" spans="1:16" s="1" customFormat="1" ht="72" customHeight="1" x14ac:dyDescent="0.3">
      <c r="A237" s="116">
        <v>235</v>
      </c>
      <c r="B237" s="152" t="s">
        <v>1189</v>
      </c>
      <c r="C237" s="121" t="s">
        <v>1190</v>
      </c>
      <c r="D237" s="151" t="s">
        <v>202</v>
      </c>
      <c r="E237" s="132" t="s">
        <v>1189</v>
      </c>
      <c r="F237" s="118" t="s">
        <v>44</v>
      </c>
      <c r="G237" s="118" t="s">
        <v>21</v>
      </c>
      <c r="H237" s="118" t="s">
        <v>1191</v>
      </c>
      <c r="I237" s="118" t="s">
        <v>606</v>
      </c>
      <c r="J237" s="118" t="s">
        <v>1192</v>
      </c>
      <c r="K237" s="118">
        <v>2017</v>
      </c>
      <c r="L237" s="118" t="s">
        <v>193</v>
      </c>
      <c r="M237" s="118" t="s">
        <v>25</v>
      </c>
      <c r="N237" s="118"/>
      <c r="O237" s="158" t="s">
        <v>1193</v>
      </c>
      <c r="P237" s="168" t="s">
        <v>1194</v>
      </c>
    </row>
    <row r="238" spans="1:16" s="1" customFormat="1" ht="41.4" customHeight="1" x14ac:dyDescent="0.3">
      <c r="A238" s="135">
        <v>236</v>
      </c>
      <c r="B238" s="152" t="s">
        <v>1195</v>
      </c>
      <c r="C238" s="121" t="s">
        <v>1006</v>
      </c>
      <c r="D238" s="151" t="s">
        <v>94</v>
      </c>
      <c r="E238" s="132" t="s">
        <v>1195</v>
      </c>
      <c r="F238" s="118" t="s">
        <v>44</v>
      </c>
      <c r="G238" s="118" t="s">
        <v>21</v>
      </c>
      <c r="H238" s="118" t="s">
        <v>1196</v>
      </c>
      <c r="I238" s="118" t="s">
        <v>606</v>
      </c>
      <c r="J238" s="118" t="s">
        <v>1197</v>
      </c>
      <c r="K238" s="118">
        <v>2017</v>
      </c>
      <c r="L238" s="118" t="s">
        <v>1198</v>
      </c>
      <c r="M238" s="118" t="s">
        <v>25</v>
      </c>
      <c r="N238" s="124" t="s">
        <v>1199</v>
      </c>
      <c r="O238" s="158" t="s">
        <v>23</v>
      </c>
      <c r="P238" s="168" t="s">
        <v>1200</v>
      </c>
    </row>
    <row r="239" spans="1:16" s="1" customFormat="1" ht="36" x14ac:dyDescent="0.3">
      <c r="A239" s="116">
        <v>237</v>
      </c>
      <c r="B239" s="152" t="s">
        <v>1201</v>
      </c>
      <c r="C239" s="121" t="s">
        <v>293</v>
      </c>
      <c r="D239" s="151" t="s">
        <v>65</v>
      </c>
      <c r="E239" s="132" t="s">
        <v>1201</v>
      </c>
      <c r="F239" s="118" t="s">
        <v>20</v>
      </c>
      <c r="G239" s="118" t="s">
        <v>65</v>
      </c>
      <c r="H239" s="118" t="s">
        <v>37</v>
      </c>
      <c r="I239" s="118" t="s">
        <v>165</v>
      </c>
      <c r="J239" s="118" t="s">
        <v>1202</v>
      </c>
      <c r="K239" s="118">
        <v>2017</v>
      </c>
      <c r="L239" s="118" t="s">
        <v>54</v>
      </c>
      <c r="M239" s="118" t="s">
        <v>39</v>
      </c>
      <c r="N239" s="118"/>
      <c r="O239" s="158" t="s">
        <v>23</v>
      </c>
      <c r="P239" s="168"/>
    </row>
    <row r="240" spans="1:16" s="1" customFormat="1" ht="27.6" x14ac:dyDescent="0.3">
      <c r="A240" s="116">
        <v>238</v>
      </c>
      <c r="B240" s="152" t="s">
        <v>1203</v>
      </c>
      <c r="C240" s="121" t="s">
        <v>1204</v>
      </c>
      <c r="D240" s="151" t="s">
        <v>35</v>
      </c>
      <c r="E240" s="132" t="s">
        <v>1203</v>
      </c>
      <c r="F240" s="118" t="s">
        <v>20</v>
      </c>
      <c r="G240" s="118" t="s">
        <v>21</v>
      </c>
      <c r="H240" s="118" t="s">
        <v>37</v>
      </c>
      <c r="I240" s="118" t="s">
        <v>105</v>
      </c>
      <c r="J240" s="118" t="s">
        <v>1186</v>
      </c>
      <c r="K240" s="118">
        <v>2017</v>
      </c>
      <c r="L240" s="118" t="s">
        <v>116</v>
      </c>
      <c r="M240" s="118" t="s">
        <v>25</v>
      </c>
      <c r="N240" s="118"/>
      <c r="O240" s="158" t="s">
        <v>23</v>
      </c>
      <c r="P240" s="168"/>
    </row>
    <row r="241" spans="1:16" s="1" customFormat="1" ht="36" x14ac:dyDescent="0.3">
      <c r="A241" s="116">
        <v>239</v>
      </c>
      <c r="B241" s="152" t="s">
        <v>1205</v>
      </c>
      <c r="C241" s="121" t="s">
        <v>1206</v>
      </c>
      <c r="D241" s="151" t="s">
        <v>43</v>
      </c>
      <c r="E241" s="132" t="s">
        <v>1205</v>
      </c>
      <c r="F241" s="118" t="s">
        <v>20</v>
      </c>
      <c r="G241" s="118" t="s">
        <v>21</v>
      </c>
      <c r="H241" s="118" t="s">
        <v>37</v>
      </c>
      <c r="I241" s="118" t="s">
        <v>183</v>
      </c>
      <c r="J241" s="118" t="s">
        <v>1207</v>
      </c>
      <c r="K241" s="118">
        <v>2017</v>
      </c>
      <c r="L241" s="118" t="s">
        <v>54</v>
      </c>
      <c r="M241" s="118" t="s">
        <v>39</v>
      </c>
      <c r="N241" s="118"/>
      <c r="O241" s="158" t="s">
        <v>1208</v>
      </c>
      <c r="P241" s="168" t="s">
        <v>1209</v>
      </c>
    </row>
    <row r="242" spans="1:16" s="1" customFormat="1" ht="27.6" x14ac:dyDescent="0.3">
      <c r="A242" s="116">
        <v>240</v>
      </c>
      <c r="B242" s="152" t="s">
        <v>1210</v>
      </c>
      <c r="C242" s="121" t="s">
        <v>1211</v>
      </c>
      <c r="D242" s="151" t="s">
        <v>1212</v>
      </c>
      <c r="E242" s="132" t="s">
        <v>1210</v>
      </c>
      <c r="F242" s="118" t="s">
        <v>20</v>
      </c>
      <c r="G242" s="118" t="s">
        <v>21</v>
      </c>
      <c r="H242" s="118" t="s">
        <v>37</v>
      </c>
      <c r="I242" s="138" t="s">
        <v>305</v>
      </c>
      <c r="J242" s="118" t="s">
        <v>1213</v>
      </c>
      <c r="K242" s="118">
        <v>2017</v>
      </c>
      <c r="L242" s="118" t="s">
        <v>69</v>
      </c>
      <c r="M242" s="118" t="s">
        <v>25</v>
      </c>
      <c r="N242" s="118"/>
      <c r="O242" s="158" t="s">
        <v>1214</v>
      </c>
      <c r="P242" s="168"/>
    </row>
    <row r="243" spans="1:16" s="1" customFormat="1" ht="27.6" x14ac:dyDescent="0.3">
      <c r="A243" s="116">
        <v>241</v>
      </c>
      <c r="B243" s="152" t="s">
        <v>1215</v>
      </c>
      <c r="C243" s="121" t="s">
        <v>964</v>
      </c>
      <c r="D243" s="151" t="s">
        <v>965</v>
      </c>
      <c r="E243" s="132" t="s">
        <v>1215</v>
      </c>
      <c r="F243" s="118" t="s">
        <v>20</v>
      </c>
      <c r="G243" s="118" t="s">
        <v>21</v>
      </c>
      <c r="H243" s="118" t="s">
        <v>37</v>
      </c>
      <c r="I243" s="118" t="s">
        <v>23</v>
      </c>
      <c r="J243" s="118" t="s">
        <v>1216</v>
      </c>
      <c r="K243" s="118">
        <v>2017</v>
      </c>
      <c r="L243" s="118" t="s">
        <v>69</v>
      </c>
      <c r="M243" s="118" t="s">
        <v>25</v>
      </c>
      <c r="N243" s="118"/>
      <c r="O243" s="158" t="s">
        <v>1217</v>
      </c>
      <c r="P243" s="168"/>
    </row>
    <row r="244" spans="1:16" s="1" customFormat="1" ht="27.6" x14ac:dyDescent="0.3">
      <c r="A244" s="116">
        <v>242</v>
      </c>
      <c r="B244" s="152" t="s">
        <v>1218</v>
      </c>
      <c r="C244" s="121" t="s">
        <v>1219</v>
      </c>
      <c r="D244" s="151" t="s">
        <v>43</v>
      </c>
      <c r="E244" s="132" t="s">
        <v>1218</v>
      </c>
      <c r="F244" s="118" t="s">
        <v>20</v>
      </c>
      <c r="G244" s="118" t="s">
        <v>171</v>
      </c>
      <c r="H244" s="118" t="s">
        <v>37</v>
      </c>
      <c r="I244" s="118" t="s">
        <v>23</v>
      </c>
      <c r="J244" s="118" t="s">
        <v>1220</v>
      </c>
      <c r="K244" s="118">
        <v>2017</v>
      </c>
      <c r="L244" s="118" t="s">
        <v>314</v>
      </c>
      <c r="M244" s="118" t="s">
        <v>25</v>
      </c>
      <c r="N244" s="118"/>
      <c r="O244" s="158" t="s">
        <v>23</v>
      </c>
      <c r="P244" s="168" t="s">
        <v>1221</v>
      </c>
    </row>
    <row r="245" spans="1:16" ht="43.5" customHeight="1" x14ac:dyDescent="0.3">
      <c r="A245" s="116">
        <v>243</v>
      </c>
      <c r="B245" s="152" t="s">
        <v>1222</v>
      </c>
      <c r="C245" s="121" t="s">
        <v>1223</v>
      </c>
      <c r="D245" s="151" t="s">
        <v>43</v>
      </c>
      <c r="E245" s="132" t="s">
        <v>1222</v>
      </c>
      <c r="F245" s="128" t="s">
        <v>325</v>
      </c>
      <c r="G245" s="118" t="s">
        <v>629</v>
      </c>
      <c r="H245" s="118" t="s">
        <v>37</v>
      </c>
      <c r="I245" s="118" t="s">
        <v>192</v>
      </c>
      <c r="J245" s="118" t="s">
        <v>1224</v>
      </c>
      <c r="K245" s="118">
        <v>2017</v>
      </c>
      <c r="L245" s="118" t="s">
        <v>281</v>
      </c>
      <c r="M245" s="118" t="s">
        <v>39</v>
      </c>
      <c r="N245" s="128"/>
      <c r="O245" s="158" t="s">
        <v>23</v>
      </c>
      <c r="P245" s="168" t="s">
        <v>1225</v>
      </c>
    </row>
    <row r="246" spans="1:16" ht="64.5" customHeight="1" x14ac:dyDescent="0.3">
      <c r="A246" s="116">
        <v>244</v>
      </c>
      <c r="B246" s="152" t="s">
        <v>1226</v>
      </c>
      <c r="C246" s="121" t="s">
        <v>384</v>
      </c>
      <c r="D246" s="151" t="s">
        <v>65</v>
      </c>
      <c r="E246" s="132" t="s">
        <v>1226</v>
      </c>
      <c r="F246" s="128" t="s">
        <v>44</v>
      </c>
      <c r="G246" s="118" t="s">
        <v>65</v>
      </c>
      <c r="H246" s="118" t="s">
        <v>1227</v>
      </c>
      <c r="I246" s="118" t="s">
        <v>517</v>
      </c>
      <c r="J246" s="118" t="s">
        <v>1228</v>
      </c>
      <c r="K246" s="118">
        <v>2017</v>
      </c>
      <c r="L246" s="118" t="s">
        <v>1229</v>
      </c>
      <c r="M246" s="118" t="s">
        <v>39</v>
      </c>
      <c r="N246" s="124" t="s">
        <v>1230</v>
      </c>
      <c r="O246" s="158" t="s">
        <v>812</v>
      </c>
      <c r="P246" s="168" t="s">
        <v>1231</v>
      </c>
    </row>
    <row r="247" spans="1:16" s="1" customFormat="1" ht="69" x14ac:dyDescent="0.3">
      <c r="A247" s="116">
        <v>245</v>
      </c>
      <c r="B247" s="152" t="s">
        <v>1232</v>
      </c>
      <c r="C247" s="121" t="s">
        <v>122</v>
      </c>
      <c r="D247" s="151" t="s">
        <v>65</v>
      </c>
      <c r="E247" s="132" t="s">
        <v>1232</v>
      </c>
      <c r="F247" s="118" t="s">
        <v>20</v>
      </c>
      <c r="G247" s="118" t="s">
        <v>65</v>
      </c>
      <c r="H247" s="118" t="s">
        <v>37</v>
      </c>
      <c r="I247" s="118" t="s">
        <v>606</v>
      </c>
      <c r="J247" s="118" t="s">
        <v>1233</v>
      </c>
      <c r="K247" s="118">
        <v>2018</v>
      </c>
      <c r="L247" s="118" t="s">
        <v>24</v>
      </c>
      <c r="M247" s="118" t="s">
        <v>25</v>
      </c>
      <c r="N247" s="118"/>
      <c r="O247" s="158" t="s">
        <v>1234</v>
      </c>
      <c r="P247" s="168" t="s">
        <v>1235</v>
      </c>
    </row>
    <row r="248" spans="1:16" s="1" customFormat="1" ht="27.6" x14ac:dyDescent="0.3">
      <c r="A248" s="116">
        <v>246</v>
      </c>
      <c r="B248" s="152" t="s">
        <v>1236</v>
      </c>
      <c r="C248" s="121" t="s">
        <v>1237</v>
      </c>
      <c r="D248" s="151" t="s">
        <v>181</v>
      </c>
      <c r="E248" s="132" t="s">
        <v>1236</v>
      </c>
      <c r="F248" s="118" t="s">
        <v>20</v>
      </c>
      <c r="G248" s="118" t="s">
        <v>21</v>
      </c>
      <c r="H248" s="118" t="s">
        <v>37</v>
      </c>
      <c r="I248" s="118" t="s">
        <v>157</v>
      </c>
      <c r="J248" s="118" t="s">
        <v>1238</v>
      </c>
      <c r="K248" s="118">
        <v>2018</v>
      </c>
      <c r="L248" s="118" t="s">
        <v>61</v>
      </c>
      <c r="M248" s="118" t="s">
        <v>25</v>
      </c>
      <c r="N248" s="118"/>
      <c r="O248" s="158" t="s">
        <v>23</v>
      </c>
      <c r="P248" s="168"/>
    </row>
    <row r="249" spans="1:16" s="1" customFormat="1" ht="21" x14ac:dyDescent="0.3">
      <c r="A249" s="116">
        <v>247</v>
      </c>
      <c r="B249" s="152" t="s">
        <v>1239</v>
      </c>
      <c r="C249" s="121" t="s">
        <v>1240</v>
      </c>
      <c r="D249" s="151" t="s">
        <v>359</v>
      </c>
      <c r="E249" s="132" t="s">
        <v>1239</v>
      </c>
      <c r="F249" s="118" t="s">
        <v>20</v>
      </c>
      <c r="G249" s="118" t="s">
        <v>21</v>
      </c>
      <c r="H249" s="118" t="s">
        <v>37</v>
      </c>
      <c r="I249" s="118" t="s">
        <v>785</v>
      </c>
      <c r="J249" s="118" t="s">
        <v>1241</v>
      </c>
      <c r="K249" s="118">
        <v>2018</v>
      </c>
      <c r="L249" s="118" t="s">
        <v>54</v>
      </c>
      <c r="M249" s="118" t="s">
        <v>39</v>
      </c>
      <c r="N249" s="118"/>
      <c r="O249" s="158" t="s">
        <v>23</v>
      </c>
      <c r="P249" s="168"/>
    </row>
    <row r="250" spans="1:16" s="1" customFormat="1" ht="41.4" x14ac:dyDescent="0.3">
      <c r="A250" s="116">
        <v>248</v>
      </c>
      <c r="B250" s="152" t="s">
        <v>1242</v>
      </c>
      <c r="C250" s="121" t="s">
        <v>1243</v>
      </c>
      <c r="D250" s="151" t="s">
        <v>230</v>
      </c>
      <c r="E250" s="132" t="s">
        <v>1242</v>
      </c>
      <c r="F250" s="118" t="s">
        <v>44</v>
      </c>
      <c r="G250" s="118" t="s">
        <v>171</v>
      </c>
      <c r="H250" s="124" t="s">
        <v>1244</v>
      </c>
      <c r="I250" s="118" t="s">
        <v>1245</v>
      </c>
      <c r="J250" s="118" t="s">
        <v>1246</v>
      </c>
      <c r="K250" s="118">
        <v>2018</v>
      </c>
      <c r="L250" s="118" t="s">
        <v>38</v>
      </c>
      <c r="M250" s="118" t="s">
        <v>39</v>
      </c>
      <c r="N250" s="124" t="s">
        <v>1247</v>
      </c>
      <c r="O250" s="158" t="s">
        <v>23</v>
      </c>
      <c r="P250" s="168" t="s">
        <v>1248</v>
      </c>
    </row>
    <row r="251" spans="1:16" s="1" customFormat="1" ht="72" x14ac:dyDescent="0.3">
      <c r="A251" s="116">
        <v>249</v>
      </c>
      <c r="B251" s="152" t="s">
        <v>1249</v>
      </c>
      <c r="C251" s="121" t="s">
        <v>1250</v>
      </c>
      <c r="D251" s="151" t="s">
        <v>202</v>
      </c>
      <c r="E251" s="132" t="s">
        <v>1249</v>
      </c>
      <c r="F251" s="118" t="s">
        <v>44</v>
      </c>
      <c r="G251" s="118" t="s">
        <v>469</v>
      </c>
      <c r="H251" s="118" t="s">
        <v>1251</v>
      </c>
      <c r="I251" s="118" t="s">
        <v>517</v>
      </c>
      <c r="J251" s="118" t="s">
        <v>1252</v>
      </c>
      <c r="K251" s="118">
        <v>2018</v>
      </c>
      <c r="L251" s="118" t="s">
        <v>1253</v>
      </c>
      <c r="M251" s="118" t="s">
        <v>39</v>
      </c>
      <c r="N251" s="118"/>
      <c r="O251" s="160" t="s">
        <v>1254</v>
      </c>
      <c r="P251" s="168" t="s">
        <v>1255</v>
      </c>
    </row>
    <row r="252" spans="1:16" s="1" customFormat="1" ht="27.6" x14ac:dyDescent="0.3">
      <c r="A252" s="116">
        <v>250</v>
      </c>
      <c r="B252" s="152" t="s">
        <v>1256</v>
      </c>
      <c r="C252" s="121" t="s">
        <v>1257</v>
      </c>
      <c r="D252" s="151" t="s">
        <v>43</v>
      </c>
      <c r="E252" s="132" t="s">
        <v>1256</v>
      </c>
      <c r="F252" s="118" t="s">
        <v>20</v>
      </c>
      <c r="G252" s="118" t="s">
        <v>21</v>
      </c>
      <c r="H252" s="118" t="s">
        <v>37</v>
      </c>
      <c r="I252" s="118" t="s">
        <v>305</v>
      </c>
      <c r="J252" s="118" t="s">
        <v>1258</v>
      </c>
      <c r="K252" s="118">
        <v>2018</v>
      </c>
      <c r="L252" s="118" t="s">
        <v>54</v>
      </c>
      <c r="M252" s="118" t="s">
        <v>25</v>
      </c>
      <c r="N252" s="118"/>
      <c r="O252" s="158" t="s">
        <v>23</v>
      </c>
      <c r="P252" s="168"/>
    </row>
    <row r="253" spans="1:16" s="1" customFormat="1" ht="113.7" customHeight="1" x14ac:dyDescent="0.3">
      <c r="A253" s="116">
        <v>251</v>
      </c>
      <c r="B253" s="152" t="s">
        <v>1259</v>
      </c>
      <c r="C253" s="121" t="s">
        <v>1260</v>
      </c>
      <c r="D253" s="151" t="s">
        <v>202</v>
      </c>
      <c r="E253" s="132" t="s">
        <v>1259</v>
      </c>
      <c r="F253" s="118" t="s">
        <v>44</v>
      </c>
      <c r="G253" s="118" t="s">
        <v>21</v>
      </c>
      <c r="H253" s="118" t="s">
        <v>1261</v>
      </c>
      <c r="I253" s="138" t="s">
        <v>413</v>
      </c>
      <c r="J253" s="118" t="s">
        <v>1262</v>
      </c>
      <c r="K253" s="118">
        <v>2018</v>
      </c>
      <c r="L253" s="118" t="s">
        <v>1263</v>
      </c>
      <c r="M253" s="118" t="s">
        <v>39</v>
      </c>
      <c r="N253" s="118" t="s">
        <v>1264</v>
      </c>
      <c r="O253" s="158" t="s">
        <v>23</v>
      </c>
      <c r="P253" s="168"/>
    </row>
    <row r="254" spans="1:16" s="1" customFormat="1" ht="90" x14ac:dyDescent="0.3">
      <c r="A254" s="116">
        <v>252</v>
      </c>
      <c r="B254" s="152" t="s">
        <v>1265</v>
      </c>
      <c r="C254" s="121" t="s">
        <v>1266</v>
      </c>
      <c r="D254" s="151" t="s">
        <v>202</v>
      </c>
      <c r="E254" s="132" t="s">
        <v>1265</v>
      </c>
      <c r="F254" s="118" t="s">
        <v>44</v>
      </c>
      <c r="G254" s="118" t="s">
        <v>21</v>
      </c>
      <c r="H254" s="118" t="s">
        <v>1267</v>
      </c>
      <c r="I254" s="138" t="s">
        <v>165</v>
      </c>
      <c r="J254" s="118" t="s">
        <v>1268</v>
      </c>
      <c r="K254" s="118">
        <v>2018</v>
      </c>
      <c r="L254" s="118" t="s">
        <v>54</v>
      </c>
      <c r="M254" s="118" t="s">
        <v>25</v>
      </c>
      <c r="N254" s="139" t="s">
        <v>1269</v>
      </c>
      <c r="O254" s="158" t="s">
        <v>23</v>
      </c>
      <c r="P254" s="168"/>
    </row>
    <row r="255" spans="1:16" s="1" customFormat="1" ht="36" x14ac:dyDescent="0.3">
      <c r="A255" s="116">
        <v>253</v>
      </c>
      <c r="B255" s="152" t="s">
        <v>1270</v>
      </c>
      <c r="C255" s="121" t="s">
        <v>1271</v>
      </c>
      <c r="D255" s="151" t="s">
        <v>86</v>
      </c>
      <c r="E255" s="132" t="s">
        <v>1270</v>
      </c>
      <c r="F255" s="118" t="s">
        <v>20</v>
      </c>
      <c r="G255" s="118" t="s">
        <v>21</v>
      </c>
      <c r="H255" s="118" t="s">
        <v>37</v>
      </c>
      <c r="I255" s="118" t="s">
        <v>105</v>
      </c>
      <c r="J255" s="118" t="s">
        <v>1272</v>
      </c>
      <c r="K255" s="118">
        <v>2018</v>
      </c>
      <c r="L255" s="118" t="s">
        <v>254</v>
      </c>
      <c r="M255" s="118" t="s">
        <v>25</v>
      </c>
      <c r="N255" s="118"/>
      <c r="O255" s="158" t="s">
        <v>1273</v>
      </c>
      <c r="P255" s="168"/>
    </row>
    <row r="256" spans="1:16" s="1" customFormat="1" ht="124.2" x14ac:dyDescent="0.3">
      <c r="A256" s="116">
        <v>254</v>
      </c>
      <c r="B256" s="152" t="s">
        <v>1274</v>
      </c>
      <c r="C256" s="121" t="s">
        <v>1275</v>
      </c>
      <c r="D256" s="151" t="s">
        <v>43</v>
      </c>
      <c r="E256" s="132" t="s">
        <v>1274</v>
      </c>
      <c r="F256" s="118" t="s">
        <v>20</v>
      </c>
      <c r="G256" s="118" t="s">
        <v>21</v>
      </c>
      <c r="H256" s="118" t="s">
        <v>1276</v>
      </c>
      <c r="I256" s="138" t="s">
        <v>1277</v>
      </c>
      <c r="J256" s="118" t="s">
        <v>1278</v>
      </c>
      <c r="K256" s="118">
        <v>2018</v>
      </c>
      <c r="L256" s="118" t="s">
        <v>54</v>
      </c>
      <c r="M256" s="118" t="s">
        <v>25</v>
      </c>
      <c r="N256" s="138" t="s">
        <v>1279</v>
      </c>
      <c r="O256" s="158" t="s">
        <v>23</v>
      </c>
      <c r="P256" s="168" t="s">
        <v>1280</v>
      </c>
    </row>
    <row r="257" spans="1:16" s="1" customFormat="1" ht="124.2" x14ac:dyDescent="0.3">
      <c r="A257" s="116">
        <v>255</v>
      </c>
      <c r="B257" s="152" t="s">
        <v>1281</v>
      </c>
      <c r="C257" s="121" t="s">
        <v>1275</v>
      </c>
      <c r="D257" s="151" t="s">
        <v>43</v>
      </c>
      <c r="E257" s="132" t="s">
        <v>1281</v>
      </c>
      <c r="F257" s="118" t="s">
        <v>44</v>
      </c>
      <c r="G257" s="118" t="s">
        <v>21</v>
      </c>
      <c r="H257" s="118" t="s">
        <v>1282</v>
      </c>
      <c r="I257" s="138" t="s">
        <v>1277</v>
      </c>
      <c r="J257" s="118" t="s">
        <v>1283</v>
      </c>
      <c r="K257" s="118">
        <v>2018</v>
      </c>
      <c r="L257" s="118" t="s">
        <v>1198</v>
      </c>
      <c r="M257" s="118" t="s">
        <v>25</v>
      </c>
      <c r="N257" s="138" t="s">
        <v>1279</v>
      </c>
      <c r="O257" s="158" t="s">
        <v>23</v>
      </c>
      <c r="P257" s="168" t="s">
        <v>1284</v>
      </c>
    </row>
    <row r="258" spans="1:16" s="1" customFormat="1" ht="21" x14ac:dyDescent="0.3">
      <c r="A258" s="116">
        <v>256</v>
      </c>
      <c r="B258" s="152" t="s">
        <v>1285</v>
      </c>
      <c r="C258" s="121" t="s">
        <v>915</v>
      </c>
      <c r="D258" s="151" t="s">
        <v>408</v>
      </c>
      <c r="E258" s="132" t="s">
        <v>1285</v>
      </c>
      <c r="F258" s="118" t="s">
        <v>20</v>
      </c>
      <c r="G258" s="118" t="s">
        <v>21</v>
      </c>
      <c r="H258" s="118" t="s">
        <v>37</v>
      </c>
      <c r="I258" s="138" t="s">
        <v>305</v>
      </c>
      <c r="J258" s="118" t="s">
        <v>1286</v>
      </c>
      <c r="K258" s="118">
        <v>2018</v>
      </c>
      <c r="L258" s="118" t="s">
        <v>159</v>
      </c>
      <c r="M258" s="118" t="s">
        <v>39</v>
      </c>
      <c r="N258" s="118"/>
      <c r="O258" s="158" t="s">
        <v>23</v>
      </c>
      <c r="P258" s="168"/>
    </row>
    <row r="259" spans="1:16" s="1" customFormat="1" ht="54" x14ac:dyDescent="0.3">
      <c r="A259" s="116">
        <v>257</v>
      </c>
      <c r="B259" s="152" t="s">
        <v>1287</v>
      </c>
      <c r="C259" s="121" t="s">
        <v>1288</v>
      </c>
      <c r="D259" s="151" t="s">
        <v>86</v>
      </c>
      <c r="E259" s="132" t="s">
        <v>1287</v>
      </c>
      <c r="F259" s="118" t="s">
        <v>325</v>
      </c>
      <c r="G259" s="118" t="s">
        <v>21</v>
      </c>
      <c r="H259" s="118" t="s">
        <v>1289</v>
      </c>
      <c r="I259" s="118" t="s">
        <v>165</v>
      </c>
      <c r="J259" s="118" t="s">
        <v>1290</v>
      </c>
      <c r="K259" s="118">
        <v>2018</v>
      </c>
      <c r="L259" s="118" t="s">
        <v>961</v>
      </c>
      <c r="M259" s="118" t="s">
        <v>25</v>
      </c>
      <c r="N259" s="118"/>
      <c r="O259" s="158" t="s">
        <v>23</v>
      </c>
      <c r="P259" s="168"/>
    </row>
    <row r="260" spans="1:16" s="1" customFormat="1" ht="27.6" x14ac:dyDescent="0.3">
      <c r="A260" s="116">
        <v>258</v>
      </c>
      <c r="B260" s="152" t="s">
        <v>1291</v>
      </c>
      <c r="C260" s="121" t="s">
        <v>1292</v>
      </c>
      <c r="D260" s="151" t="s">
        <v>129</v>
      </c>
      <c r="E260" s="132" t="s">
        <v>1291</v>
      </c>
      <c r="F260" s="118" t="s">
        <v>20</v>
      </c>
      <c r="G260" s="118" t="s">
        <v>21</v>
      </c>
      <c r="H260" s="118" t="s">
        <v>37</v>
      </c>
      <c r="I260" s="118" t="s">
        <v>105</v>
      </c>
      <c r="J260" s="118" t="s">
        <v>1293</v>
      </c>
      <c r="K260" s="118">
        <v>2018</v>
      </c>
      <c r="L260" s="118" t="s">
        <v>54</v>
      </c>
      <c r="M260" s="118" t="s">
        <v>25</v>
      </c>
      <c r="N260" s="118"/>
      <c r="O260" s="158" t="s">
        <v>1294</v>
      </c>
      <c r="P260" s="168"/>
    </row>
    <row r="261" spans="1:16" ht="27.6" x14ac:dyDescent="0.3">
      <c r="A261" s="116">
        <v>259</v>
      </c>
      <c r="B261" s="152" t="s">
        <v>1295</v>
      </c>
      <c r="C261" s="121" t="s">
        <v>1296</v>
      </c>
      <c r="D261" s="151" t="s">
        <v>1297</v>
      </c>
      <c r="E261" s="132" t="s">
        <v>1295</v>
      </c>
      <c r="F261" s="128" t="s">
        <v>510</v>
      </c>
      <c r="G261" s="118" t="s">
        <v>171</v>
      </c>
      <c r="H261" s="118" t="s">
        <v>1298</v>
      </c>
      <c r="I261" s="118" t="s">
        <v>226</v>
      </c>
      <c r="J261" s="140" t="s">
        <v>1299</v>
      </c>
      <c r="K261" s="118">
        <v>2018</v>
      </c>
      <c r="L261" s="118" t="s">
        <v>1300</v>
      </c>
      <c r="M261" s="118" t="s">
        <v>39</v>
      </c>
      <c r="N261" s="128"/>
      <c r="O261" s="158" t="s">
        <v>1301</v>
      </c>
      <c r="P261" s="168" t="s">
        <v>1302</v>
      </c>
    </row>
    <row r="262" spans="1:16" s="1" customFormat="1" ht="48" customHeight="1" x14ac:dyDescent="0.3">
      <c r="A262" s="116">
        <v>260</v>
      </c>
      <c r="B262" s="152" t="s">
        <v>1303</v>
      </c>
      <c r="C262" s="121" t="s">
        <v>1304</v>
      </c>
      <c r="D262" s="151" t="s">
        <v>65</v>
      </c>
      <c r="E262" s="132" t="s">
        <v>1303</v>
      </c>
      <c r="F262" s="118" t="s">
        <v>44</v>
      </c>
      <c r="G262" s="118" t="s">
        <v>65</v>
      </c>
      <c r="H262" s="118" t="s">
        <v>1305</v>
      </c>
      <c r="I262" s="118" t="s">
        <v>487</v>
      </c>
      <c r="J262" s="140" t="s">
        <v>1306</v>
      </c>
      <c r="K262" s="118">
        <v>2018</v>
      </c>
      <c r="L262" s="118" t="s">
        <v>1300</v>
      </c>
      <c r="M262" s="118" t="s">
        <v>25</v>
      </c>
      <c r="N262" s="118"/>
      <c r="O262" s="158" t="s">
        <v>1307</v>
      </c>
      <c r="P262" s="168"/>
    </row>
    <row r="263" spans="1:16" s="1" customFormat="1" ht="67.2" customHeight="1" x14ac:dyDescent="0.3">
      <c r="A263" s="141">
        <v>261</v>
      </c>
      <c r="B263" s="152" t="s">
        <v>1308</v>
      </c>
      <c r="C263" s="121" t="s">
        <v>1309</v>
      </c>
      <c r="D263" s="151" t="s">
        <v>43</v>
      </c>
      <c r="E263" s="132" t="s">
        <v>1308</v>
      </c>
      <c r="F263" s="118" t="s">
        <v>20</v>
      </c>
      <c r="G263" s="118" t="s">
        <v>21</v>
      </c>
      <c r="H263" s="118" t="s">
        <v>1310</v>
      </c>
      <c r="I263" s="118" t="s">
        <v>1311</v>
      </c>
      <c r="J263" s="118" t="s">
        <v>1312</v>
      </c>
      <c r="K263" s="118">
        <v>2018</v>
      </c>
      <c r="L263" s="118" t="s">
        <v>54</v>
      </c>
      <c r="M263" s="118" t="s">
        <v>25</v>
      </c>
      <c r="N263" s="142"/>
      <c r="O263" s="158" t="s">
        <v>1313</v>
      </c>
      <c r="P263" s="168" t="s">
        <v>1314</v>
      </c>
    </row>
    <row r="264" spans="1:16" s="1" customFormat="1" ht="36" x14ac:dyDescent="0.3">
      <c r="A264" s="135">
        <v>262</v>
      </c>
      <c r="B264" s="152" t="s">
        <v>1315</v>
      </c>
      <c r="C264" s="121" t="s">
        <v>879</v>
      </c>
      <c r="D264" s="151" t="s">
        <v>65</v>
      </c>
      <c r="E264" s="132" t="s">
        <v>1315</v>
      </c>
      <c r="F264" s="118" t="s">
        <v>20</v>
      </c>
      <c r="G264" s="118" t="s">
        <v>65</v>
      </c>
      <c r="H264" s="118" t="s">
        <v>37</v>
      </c>
      <c r="I264" s="118" t="s">
        <v>1144</v>
      </c>
      <c r="J264" s="118" t="s">
        <v>1316</v>
      </c>
      <c r="K264" s="118">
        <v>2018</v>
      </c>
      <c r="L264" s="118" t="s">
        <v>167</v>
      </c>
      <c r="M264" s="118" t="s">
        <v>39</v>
      </c>
      <c r="N264" s="124" t="s">
        <v>1317</v>
      </c>
      <c r="O264" s="158" t="s">
        <v>23</v>
      </c>
      <c r="P264" s="168"/>
    </row>
    <row r="265" spans="1:16" s="1" customFormat="1" ht="27.6" x14ac:dyDescent="0.3">
      <c r="A265" s="143">
        <v>263</v>
      </c>
      <c r="B265" s="152" t="s">
        <v>1318</v>
      </c>
      <c r="C265" s="121" t="s">
        <v>1002</v>
      </c>
      <c r="D265" s="151" t="s">
        <v>99</v>
      </c>
      <c r="E265" s="132" t="s">
        <v>1318</v>
      </c>
      <c r="F265" s="118" t="s">
        <v>1319</v>
      </c>
      <c r="G265" s="118" t="s">
        <v>21</v>
      </c>
      <c r="H265" s="118" t="s">
        <v>1320</v>
      </c>
      <c r="I265" s="138" t="s">
        <v>305</v>
      </c>
      <c r="J265" s="118" t="s">
        <v>1321</v>
      </c>
      <c r="K265" s="118">
        <v>2019</v>
      </c>
      <c r="L265" s="118" t="s">
        <v>54</v>
      </c>
      <c r="M265" s="118" t="s">
        <v>25</v>
      </c>
      <c r="N265" s="118"/>
      <c r="O265" s="158" t="s">
        <v>1322</v>
      </c>
      <c r="P265" s="168"/>
    </row>
    <row r="266" spans="1:16" s="1" customFormat="1" ht="41.4" x14ac:dyDescent="0.3">
      <c r="A266" s="141">
        <v>264</v>
      </c>
      <c r="B266" s="152" t="s">
        <v>1323</v>
      </c>
      <c r="C266" s="121" t="s">
        <v>287</v>
      </c>
      <c r="D266" s="151" t="s">
        <v>65</v>
      </c>
      <c r="E266" s="132" t="s">
        <v>1323</v>
      </c>
      <c r="F266" s="118" t="s">
        <v>325</v>
      </c>
      <c r="G266" s="118" t="s">
        <v>65</v>
      </c>
      <c r="H266" s="118" t="s">
        <v>1324</v>
      </c>
      <c r="I266" s="118" t="s">
        <v>1325</v>
      </c>
      <c r="J266" s="118" t="s">
        <v>1326</v>
      </c>
      <c r="K266" s="118">
        <v>2019</v>
      </c>
      <c r="L266" s="118" t="s">
        <v>1327</v>
      </c>
      <c r="M266" s="118" t="s">
        <v>25</v>
      </c>
      <c r="N266" s="142"/>
      <c r="O266" s="158" t="s">
        <v>1328</v>
      </c>
      <c r="P266" s="168" t="s">
        <v>1329</v>
      </c>
    </row>
    <row r="267" spans="1:16" s="1" customFormat="1" ht="36" x14ac:dyDescent="0.3">
      <c r="A267" s="141">
        <v>265</v>
      </c>
      <c r="B267" s="152" t="s">
        <v>1330</v>
      </c>
      <c r="C267" s="121" t="s">
        <v>1331</v>
      </c>
      <c r="D267" s="151" t="s">
        <v>65</v>
      </c>
      <c r="E267" s="132" t="s">
        <v>1330</v>
      </c>
      <c r="F267" s="118" t="s">
        <v>44</v>
      </c>
      <c r="G267" s="118" t="s">
        <v>21</v>
      </c>
      <c r="H267" s="118" t="s">
        <v>1332</v>
      </c>
      <c r="I267" s="118" t="s">
        <v>1333</v>
      </c>
      <c r="J267" s="118" t="s">
        <v>1334</v>
      </c>
      <c r="K267" s="118">
        <v>2019</v>
      </c>
      <c r="L267" s="118" t="s">
        <v>1335</v>
      </c>
      <c r="M267" s="118" t="s">
        <v>25</v>
      </c>
      <c r="N267" s="118" t="s">
        <v>1336</v>
      </c>
      <c r="O267" s="158" t="s">
        <v>1337</v>
      </c>
      <c r="P267" s="168" t="s">
        <v>1338</v>
      </c>
    </row>
    <row r="268" spans="1:16" s="1" customFormat="1" ht="36" x14ac:dyDescent="0.3">
      <c r="A268" s="141">
        <v>266</v>
      </c>
      <c r="B268" s="152" t="s">
        <v>1339</v>
      </c>
      <c r="C268" s="121" t="s">
        <v>1331</v>
      </c>
      <c r="D268" s="151" t="s">
        <v>65</v>
      </c>
      <c r="E268" s="132" t="s">
        <v>1339</v>
      </c>
      <c r="F268" s="118" t="s">
        <v>44</v>
      </c>
      <c r="G268" s="118" t="s">
        <v>21</v>
      </c>
      <c r="H268" s="118" t="s">
        <v>1340</v>
      </c>
      <c r="I268" s="118" t="s">
        <v>1333</v>
      </c>
      <c r="J268" s="118" t="s">
        <v>1334</v>
      </c>
      <c r="K268" s="118">
        <v>2019</v>
      </c>
      <c r="L268" s="118" t="s">
        <v>1335</v>
      </c>
      <c r="M268" s="118" t="s">
        <v>25</v>
      </c>
      <c r="N268" s="118" t="s">
        <v>1336</v>
      </c>
      <c r="O268" s="158" t="s">
        <v>1337</v>
      </c>
      <c r="P268" s="168" t="s">
        <v>1341</v>
      </c>
    </row>
    <row r="269" spans="1:16" s="1" customFormat="1" ht="90" x14ac:dyDescent="0.3">
      <c r="A269" s="135">
        <v>267</v>
      </c>
      <c r="B269" s="152" t="s">
        <v>1342</v>
      </c>
      <c r="C269" s="121" t="s">
        <v>1343</v>
      </c>
      <c r="D269" s="151" t="s">
        <v>359</v>
      </c>
      <c r="E269" s="132" t="s">
        <v>1342</v>
      </c>
      <c r="F269" s="118" t="s">
        <v>44</v>
      </c>
      <c r="G269" s="118" t="s">
        <v>21</v>
      </c>
      <c r="H269" s="118" t="s">
        <v>1344</v>
      </c>
      <c r="I269" s="118" t="s">
        <v>1345</v>
      </c>
      <c r="J269" s="118" t="s">
        <v>1346</v>
      </c>
      <c r="K269" s="118">
        <v>2019</v>
      </c>
      <c r="L269" s="118" t="s">
        <v>159</v>
      </c>
      <c r="M269" s="118" t="s">
        <v>39</v>
      </c>
      <c r="N269" s="124" t="s">
        <v>1347</v>
      </c>
      <c r="O269" s="158" t="s">
        <v>1345</v>
      </c>
      <c r="P269" s="168"/>
    </row>
    <row r="270" spans="1:16" s="1" customFormat="1" ht="41.4" x14ac:dyDescent="0.3">
      <c r="A270" s="141">
        <v>268</v>
      </c>
      <c r="B270" s="152" t="s">
        <v>1348</v>
      </c>
      <c r="C270" s="121" t="s">
        <v>1349</v>
      </c>
      <c r="D270" s="151" t="s">
        <v>86</v>
      </c>
      <c r="E270" s="132" t="s">
        <v>1348</v>
      </c>
      <c r="F270" s="118" t="s">
        <v>325</v>
      </c>
      <c r="G270" s="118" t="s">
        <v>87</v>
      </c>
      <c r="H270" s="118" t="s">
        <v>1350</v>
      </c>
      <c r="I270" s="118" t="s">
        <v>1351</v>
      </c>
      <c r="J270" s="118" t="s">
        <v>1352</v>
      </c>
      <c r="K270" s="118">
        <v>2019</v>
      </c>
      <c r="L270" s="118" t="s">
        <v>1353</v>
      </c>
      <c r="M270" s="118" t="s">
        <v>39</v>
      </c>
      <c r="N270" s="144" t="s">
        <v>1354</v>
      </c>
      <c r="O270" s="158" t="s">
        <v>1355</v>
      </c>
      <c r="P270" s="168" t="s">
        <v>1356</v>
      </c>
    </row>
    <row r="271" spans="1:16" s="1" customFormat="1" ht="69" x14ac:dyDescent="0.3">
      <c r="A271" s="141">
        <v>269</v>
      </c>
      <c r="B271" s="152" t="s">
        <v>1357</v>
      </c>
      <c r="C271" s="121" t="s">
        <v>1358</v>
      </c>
      <c r="D271" s="151" t="s">
        <v>73</v>
      </c>
      <c r="E271" s="132" t="s">
        <v>1357</v>
      </c>
      <c r="F271" s="118" t="s">
        <v>20</v>
      </c>
      <c r="G271" s="118" t="s">
        <v>21</v>
      </c>
      <c r="H271" s="118" t="s">
        <v>1359</v>
      </c>
      <c r="I271" s="118" t="s">
        <v>1360</v>
      </c>
      <c r="J271" s="118" t="s">
        <v>1361</v>
      </c>
      <c r="K271" s="118">
        <v>2019</v>
      </c>
      <c r="L271" s="118" t="s">
        <v>54</v>
      </c>
      <c r="M271" s="118" t="s">
        <v>25</v>
      </c>
      <c r="N271" s="118" t="s">
        <v>1362</v>
      </c>
      <c r="O271" s="158" t="s">
        <v>1363</v>
      </c>
      <c r="P271" s="168" t="s">
        <v>1364</v>
      </c>
    </row>
    <row r="272" spans="1:16" s="1" customFormat="1" ht="55.2" x14ac:dyDescent="0.3">
      <c r="A272" s="141">
        <v>270</v>
      </c>
      <c r="B272" s="152" t="s">
        <v>1365</v>
      </c>
      <c r="C272" s="121" t="s">
        <v>1358</v>
      </c>
      <c r="D272" s="151" t="s">
        <v>73</v>
      </c>
      <c r="E272" s="132" t="s">
        <v>1366</v>
      </c>
      <c r="F272" s="118" t="s">
        <v>44</v>
      </c>
      <c r="G272" s="118" t="s">
        <v>21</v>
      </c>
      <c r="H272" s="118" t="s">
        <v>1367</v>
      </c>
      <c r="I272" s="118" t="s">
        <v>1360</v>
      </c>
      <c r="J272" s="118" t="s">
        <v>1361</v>
      </c>
      <c r="K272" s="118">
        <v>2019</v>
      </c>
      <c r="L272" s="118" t="s">
        <v>159</v>
      </c>
      <c r="M272" s="118" t="s">
        <v>39</v>
      </c>
      <c r="N272" s="118" t="s">
        <v>1368</v>
      </c>
      <c r="O272" s="158" t="s">
        <v>1363</v>
      </c>
      <c r="P272" s="168" t="s">
        <v>1369</v>
      </c>
    </row>
    <row r="273" spans="1:16" s="1" customFormat="1" ht="55.2" x14ac:dyDescent="0.3">
      <c r="A273" s="141">
        <v>271</v>
      </c>
      <c r="B273" s="152" t="s">
        <v>1370</v>
      </c>
      <c r="C273" s="121" t="s">
        <v>648</v>
      </c>
      <c r="D273" s="151" t="s">
        <v>202</v>
      </c>
      <c r="E273" s="132" t="s">
        <v>1370</v>
      </c>
      <c r="F273" s="118" t="s">
        <v>44</v>
      </c>
      <c r="G273" s="118" t="s">
        <v>469</v>
      </c>
      <c r="H273" s="118" t="s">
        <v>1371</v>
      </c>
      <c r="I273" s="118" t="s">
        <v>226</v>
      </c>
      <c r="J273" s="118" t="s">
        <v>1372</v>
      </c>
      <c r="K273" s="118">
        <v>2019</v>
      </c>
      <c r="L273" s="118" t="s">
        <v>38</v>
      </c>
      <c r="M273" s="118" t="s">
        <v>39</v>
      </c>
      <c r="N273" s="118" t="s">
        <v>1373</v>
      </c>
      <c r="O273" s="158" t="s">
        <v>1374</v>
      </c>
      <c r="P273" s="168" t="s">
        <v>1375</v>
      </c>
    </row>
    <row r="274" spans="1:16" s="1" customFormat="1" ht="27.6" x14ac:dyDescent="0.3">
      <c r="A274" s="141">
        <v>272</v>
      </c>
      <c r="B274" s="152" t="s">
        <v>1376</v>
      </c>
      <c r="C274" s="121" t="s">
        <v>1377</v>
      </c>
      <c r="D274" s="151" t="s">
        <v>99</v>
      </c>
      <c r="E274" s="132" t="s">
        <v>1376</v>
      </c>
      <c r="F274" s="118" t="s">
        <v>44</v>
      </c>
      <c r="G274" s="118" t="s">
        <v>21</v>
      </c>
      <c r="H274" s="118" t="s">
        <v>1378</v>
      </c>
      <c r="I274" s="118" t="s">
        <v>1379</v>
      </c>
      <c r="J274" s="118" t="s">
        <v>1380</v>
      </c>
      <c r="K274" s="118">
        <v>2019</v>
      </c>
      <c r="L274" s="118" t="s">
        <v>159</v>
      </c>
      <c r="M274" s="118" t="s">
        <v>39</v>
      </c>
      <c r="N274" s="118" t="s">
        <v>1378</v>
      </c>
      <c r="O274" s="158" t="s">
        <v>1381</v>
      </c>
      <c r="P274" s="168" t="s">
        <v>2461</v>
      </c>
    </row>
    <row r="275" spans="1:16" s="1" customFormat="1" ht="158.69999999999999" customHeight="1" x14ac:dyDescent="0.3">
      <c r="A275" s="141">
        <v>273</v>
      </c>
      <c r="B275" s="152" t="s">
        <v>1382</v>
      </c>
      <c r="C275" s="121" t="s">
        <v>1383</v>
      </c>
      <c r="D275" s="151" t="s">
        <v>202</v>
      </c>
      <c r="E275" s="132" t="s">
        <v>1382</v>
      </c>
      <c r="F275" s="118" t="s">
        <v>325</v>
      </c>
      <c r="G275" s="118" t="s">
        <v>58</v>
      </c>
      <c r="H275" s="118" t="s">
        <v>1384</v>
      </c>
      <c r="I275" s="118" t="s">
        <v>1385</v>
      </c>
      <c r="J275" s="118" t="s">
        <v>1386</v>
      </c>
      <c r="K275" s="118">
        <v>2019</v>
      </c>
      <c r="L275" s="118" t="s">
        <v>1387</v>
      </c>
      <c r="M275" s="118" t="s">
        <v>25</v>
      </c>
      <c r="N275" s="118" t="s">
        <v>1388</v>
      </c>
      <c r="O275" s="158" t="s">
        <v>1389</v>
      </c>
      <c r="P275" s="168" t="s">
        <v>1390</v>
      </c>
    </row>
    <row r="276" spans="1:16" s="1" customFormat="1" ht="69" x14ac:dyDescent="0.3">
      <c r="A276" s="141">
        <v>274</v>
      </c>
      <c r="B276" s="152" t="s">
        <v>1391</v>
      </c>
      <c r="C276" s="121" t="s">
        <v>2453</v>
      </c>
      <c r="D276" s="151" t="s">
        <v>43</v>
      </c>
      <c r="E276" s="132" t="s">
        <v>1391</v>
      </c>
      <c r="F276" s="118" t="s">
        <v>30</v>
      </c>
      <c r="G276" s="118" t="s">
        <v>1392</v>
      </c>
      <c r="H276" s="118" t="s">
        <v>1393</v>
      </c>
      <c r="I276" s="118" t="s">
        <v>1394</v>
      </c>
      <c r="J276" s="118" t="s">
        <v>1395</v>
      </c>
      <c r="K276" s="118">
        <v>2019</v>
      </c>
      <c r="L276" s="118" t="s">
        <v>24</v>
      </c>
      <c r="M276" s="118" t="s">
        <v>25</v>
      </c>
      <c r="N276" s="145" t="s">
        <v>1396</v>
      </c>
      <c r="O276" s="158" t="s">
        <v>1397</v>
      </c>
      <c r="P276" s="168"/>
    </row>
    <row r="277" spans="1:16" s="1" customFormat="1" ht="69" x14ac:dyDescent="0.3">
      <c r="A277" s="141">
        <v>275</v>
      </c>
      <c r="B277" s="152" t="s">
        <v>1398</v>
      </c>
      <c r="C277" s="121" t="s">
        <v>1399</v>
      </c>
      <c r="D277" s="151" t="s">
        <v>1400</v>
      </c>
      <c r="E277" s="132" t="s">
        <v>1398</v>
      </c>
      <c r="F277" s="118" t="s">
        <v>1401</v>
      </c>
      <c r="G277" s="118" t="s">
        <v>171</v>
      </c>
      <c r="H277" s="118" t="s">
        <v>1402</v>
      </c>
      <c r="I277" s="118" t="s">
        <v>165</v>
      </c>
      <c r="J277" s="118">
        <v>2019</v>
      </c>
      <c r="K277" s="118">
        <v>2019</v>
      </c>
      <c r="L277" s="118" t="s">
        <v>1387</v>
      </c>
      <c r="M277" s="118" t="s">
        <v>25</v>
      </c>
      <c r="N277" s="118" t="s">
        <v>1403</v>
      </c>
      <c r="O277" s="158" t="s">
        <v>1404</v>
      </c>
      <c r="P277" s="168" t="s">
        <v>1405</v>
      </c>
    </row>
    <row r="278" spans="1:16" s="1" customFormat="1" ht="41.4" x14ac:dyDescent="0.3">
      <c r="A278" s="141">
        <v>276</v>
      </c>
      <c r="B278" s="152" t="s">
        <v>1406</v>
      </c>
      <c r="C278" s="121" t="s">
        <v>1407</v>
      </c>
      <c r="D278" s="151" t="s">
        <v>43</v>
      </c>
      <c r="E278" s="132" t="s">
        <v>1406</v>
      </c>
      <c r="F278" s="118" t="s">
        <v>20</v>
      </c>
      <c r="G278" s="118" t="s">
        <v>21</v>
      </c>
      <c r="H278" s="118" t="s">
        <v>1408</v>
      </c>
      <c r="I278" s="118" t="s">
        <v>331</v>
      </c>
      <c r="J278" s="118" t="s">
        <v>1409</v>
      </c>
      <c r="K278" s="118">
        <v>2019</v>
      </c>
      <c r="L278" s="118" t="s">
        <v>159</v>
      </c>
      <c r="M278" s="118" t="s">
        <v>39</v>
      </c>
      <c r="N278" s="144" t="s">
        <v>1410</v>
      </c>
      <c r="O278" s="158" t="s">
        <v>1411</v>
      </c>
      <c r="P278" s="168"/>
    </row>
    <row r="279" spans="1:16" s="1" customFormat="1" ht="41.4" x14ac:dyDescent="0.3">
      <c r="A279" s="141">
        <v>277</v>
      </c>
      <c r="B279" s="152" t="s">
        <v>1412</v>
      </c>
      <c r="C279" s="121" t="s">
        <v>1407</v>
      </c>
      <c r="D279" s="151" t="s">
        <v>43</v>
      </c>
      <c r="E279" s="132" t="s">
        <v>1412</v>
      </c>
      <c r="F279" s="118" t="s">
        <v>1319</v>
      </c>
      <c r="G279" s="118" t="s">
        <v>21</v>
      </c>
      <c r="H279" s="118" t="s">
        <v>1413</v>
      </c>
      <c r="I279" s="118" t="s">
        <v>331</v>
      </c>
      <c r="J279" s="118" t="s">
        <v>1414</v>
      </c>
      <c r="K279" s="118">
        <v>2019</v>
      </c>
      <c r="L279" s="118" t="s">
        <v>159</v>
      </c>
      <c r="M279" s="118" t="s">
        <v>25</v>
      </c>
      <c r="N279" s="144" t="s">
        <v>1410</v>
      </c>
      <c r="O279" s="158" t="s">
        <v>1411</v>
      </c>
      <c r="P279" s="168"/>
    </row>
    <row r="280" spans="1:16" s="1" customFormat="1" ht="27.6" x14ac:dyDescent="0.3">
      <c r="A280" s="156">
        <v>278</v>
      </c>
      <c r="B280" s="152" t="s">
        <v>1415</v>
      </c>
      <c r="C280" s="121" t="s">
        <v>1126</v>
      </c>
      <c r="D280" s="151" t="s">
        <v>19</v>
      </c>
      <c r="E280" s="132" t="s">
        <v>1415</v>
      </c>
      <c r="F280" s="118" t="s">
        <v>20</v>
      </c>
      <c r="G280" s="118" t="s">
        <v>21</v>
      </c>
      <c r="H280" s="118" t="s">
        <v>37</v>
      </c>
      <c r="I280" s="138" t="s">
        <v>305</v>
      </c>
      <c r="J280" s="175" t="s">
        <v>2495</v>
      </c>
      <c r="K280" s="118">
        <v>2019</v>
      </c>
      <c r="L280" s="118" t="s">
        <v>54</v>
      </c>
      <c r="M280" s="118" t="s">
        <v>25</v>
      </c>
      <c r="N280" s="175" t="s">
        <v>2496</v>
      </c>
      <c r="O280" s="158" t="s">
        <v>23</v>
      </c>
      <c r="P280" s="132" t="s">
        <v>2497</v>
      </c>
    </row>
    <row r="281" spans="1:16" s="1" customFormat="1" ht="54" x14ac:dyDescent="0.3">
      <c r="A281" s="141">
        <v>279</v>
      </c>
      <c r="B281" s="152" t="s">
        <v>1416</v>
      </c>
      <c r="C281" s="149" t="s">
        <v>1417</v>
      </c>
      <c r="D281" s="151" t="s">
        <v>202</v>
      </c>
      <c r="E281" s="132" t="s">
        <v>1416</v>
      </c>
      <c r="F281" s="118" t="s">
        <v>1319</v>
      </c>
      <c r="G281" s="118" t="s">
        <v>203</v>
      </c>
      <c r="H281" s="118" t="s">
        <v>1418</v>
      </c>
      <c r="I281" s="138" t="s">
        <v>707</v>
      </c>
      <c r="J281" s="118" t="s">
        <v>1414</v>
      </c>
      <c r="K281" s="118">
        <v>2019</v>
      </c>
      <c r="L281" s="118" t="s">
        <v>24</v>
      </c>
      <c r="M281" s="118" t="s">
        <v>25</v>
      </c>
      <c r="N281" s="124" t="s">
        <v>1419</v>
      </c>
      <c r="O281" s="160" t="s">
        <v>1420</v>
      </c>
      <c r="P281" s="168" t="s">
        <v>1421</v>
      </c>
    </row>
    <row r="282" spans="1:16" s="1" customFormat="1" ht="63.6" customHeight="1" x14ac:dyDescent="0.3">
      <c r="A282" s="141">
        <v>280</v>
      </c>
      <c r="B282" s="152" t="s">
        <v>1422</v>
      </c>
      <c r="C282" s="121" t="s">
        <v>1423</v>
      </c>
      <c r="D282" s="151" t="s">
        <v>99</v>
      </c>
      <c r="E282" s="132" t="s">
        <v>1422</v>
      </c>
      <c r="F282" s="118" t="s">
        <v>20</v>
      </c>
      <c r="G282" s="118" t="s">
        <v>21</v>
      </c>
      <c r="H282" s="118" t="s">
        <v>1424</v>
      </c>
      <c r="I282" s="118" t="s">
        <v>1385</v>
      </c>
      <c r="J282" s="118" t="s">
        <v>1425</v>
      </c>
      <c r="K282" s="118">
        <v>2019</v>
      </c>
      <c r="L282" s="118" t="s">
        <v>24</v>
      </c>
      <c r="M282" s="118" t="s">
        <v>25</v>
      </c>
      <c r="N282" s="118" t="s">
        <v>1426</v>
      </c>
      <c r="O282" s="158" t="s">
        <v>1427</v>
      </c>
      <c r="P282" s="168" t="s">
        <v>1428</v>
      </c>
    </row>
    <row r="283" spans="1:16" s="1" customFormat="1" ht="55.2" x14ac:dyDescent="0.3">
      <c r="A283" s="141">
        <v>281</v>
      </c>
      <c r="B283" s="152" t="s">
        <v>1429</v>
      </c>
      <c r="C283" s="121" t="s">
        <v>1430</v>
      </c>
      <c r="D283" s="151" t="s">
        <v>99</v>
      </c>
      <c r="E283" s="132" t="s">
        <v>1429</v>
      </c>
      <c r="F283" s="118" t="s">
        <v>20</v>
      </c>
      <c r="G283" s="118" t="s">
        <v>21</v>
      </c>
      <c r="H283" s="118" t="s">
        <v>1431</v>
      </c>
      <c r="I283" s="118" t="s">
        <v>1432</v>
      </c>
      <c r="J283" s="118" t="s">
        <v>1433</v>
      </c>
      <c r="K283" s="118">
        <v>2019</v>
      </c>
      <c r="L283" s="118" t="s">
        <v>159</v>
      </c>
      <c r="M283" s="118" t="s">
        <v>25</v>
      </c>
      <c r="N283" s="118" t="s">
        <v>1434</v>
      </c>
      <c r="O283" s="160" t="s">
        <v>1435</v>
      </c>
      <c r="P283" s="168"/>
    </row>
    <row r="284" spans="1:16" s="1" customFormat="1" ht="41.4" x14ac:dyDescent="0.3">
      <c r="A284" s="141">
        <v>282</v>
      </c>
      <c r="B284" s="152" t="s">
        <v>1436</v>
      </c>
      <c r="C284" s="121" t="s">
        <v>1437</v>
      </c>
      <c r="D284" s="151" t="s">
        <v>447</v>
      </c>
      <c r="E284" s="132" t="s">
        <v>1436</v>
      </c>
      <c r="F284" s="118" t="s">
        <v>20</v>
      </c>
      <c r="G284" s="118" t="s">
        <v>21</v>
      </c>
      <c r="H284" s="118" t="s">
        <v>1438</v>
      </c>
      <c r="I284" s="118" t="s">
        <v>105</v>
      </c>
      <c r="J284" s="118" t="s">
        <v>1439</v>
      </c>
      <c r="K284" s="118">
        <v>2019</v>
      </c>
      <c r="L284" s="118" t="s">
        <v>54</v>
      </c>
      <c r="M284" s="118" t="s">
        <v>25</v>
      </c>
      <c r="N284" s="124" t="s">
        <v>1440</v>
      </c>
      <c r="O284" s="158" t="s">
        <v>1441</v>
      </c>
      <c r="P284" s="168"/>
    </row>
    <row r="285" spans="1:16" s="1" customFormat="1" ht="92.4" customHeight="1" x14ac:dyDescent="0.3">
      <c r="A285" s="141">
        <v>283</v>
      </c>
      <c r="B285" s="152" t="s">
        <v>1442</v>
      </c>
      <c r="C285" s="121" t="s">
        <v>1443</v>
      </c>
      <c r="D285" s="151" t="s">
        <v>202</v>
      </c>
      <c r="E285" s="132" t="s">
        <v>1442</v>
      </c>
      <c r="F285" s="118" t="s">
        <v>20</v>
      </c>
      <c r="G285" s="118" t="s">
        <v>469</v>
      </c>
      <c r="H285" s="118" t="s">
        <v>1444</v>
      </c>
      <c r="I285" s="118" t="s">
        <v>1432</v>
      </c>
      <c r="J285" s="118" t="s">
        <v>1433</v>
      </c>
      <c r="K285" s="118">
        <v>2019</v>
      </c>
      <c r="L285" s="118" t="s">
        <v>54</v>
      </c>
      <c r="M285" s="118" t="s">
        <v>25</v>
      </c>
      <c r="N285" s="118" t="s">
        <v>1445</v>
      </c>
      <c r="O285" s="160" t="s">
        <v>1446</v>
      </c>
      <c r="P285" s="168" t="s">
        <v>1447</v>
      </c>
    </row>
    <row r="286" spans="1:16" s="1" customFormat="1" ht="156" customHeight="1" x14ac:dyDescent="0.3">
      <c r="A286" s="141">
        <v>284</v>
      </c>
      <c r="B286" s="152" t="s">
        <v>1448</v>
      </c>
      <c r="C286" s="121" t="s">
        <v>1449</v>
      </c>
      <c r="D286" s="151" t="s">
        <v>86</v>
      </c>
      <c r="E286" s="132" t="s">
        <v>1448</v>
      </c>
      <c r="F286" s="118" t="s">
        <v>20</v>
      </c>
      <c r="G286" s="118" t="s">
        <v>171</v>
      </c>
      <c r="H286" s="118" t="s">
        <v>1450</v>
      </c>
      <c r="I286" s="118" t="s">
        <v>1451</v>
      </c>
      <c r="J286" s="118" t="s">
        <v>1425</v>
      </c>
      <c r="K286" s="118">
        <v>2019</v>
      </c>
      <c r="L286" s="118" t="s">
        <v>1452</v>
      </c>
      <c r="M286" s="118" t="s">
        <v>39</v>
      </c>
      <c r="N286" s="118" t="s">
        <v>1453</v>
      </c>
      <c r="O286" s="158" t="s">
        <v>1454</v>
      </c>
      <c r="P286" s="168" t="s">
        <v>1455</v>
      </c>
    </row>
    <row r="287" spans="1:16" s="1" customFormat="1" ht="55.2" x14ac:dyDescent="0.3">
      <c r="A287" s="143">
        <v>285</v>
      </c>
      <c r="B287" s="152" t="s">
        <v>1456</v>
      </c>
      <c r="C287" s="121" t="s">
        <v>1457</v>
      </c>
      <c r="D287" s="151" t="s">
        <v>43</v>
      </c>
      <c r="E287" s="132" t="s">
        <v>1456</v>
      </c>
      <c r="F287" s="118" t="s">
        <v>20</v>
      </c>
      <c r="G287" s="118" t="s">
        <v>21</v>
      </c>
      <c r="H287" s="138" t="s">
        <v>37</v>
      </c>
      <c r="I287" s="138" t="s">
        <v>707</v>
      </c>
      <c r="J287" s="118" t="s">
        <v>1458</v>
      </c>
      <c r="K287" s="118">
        <v>2019</v>
      </c>
      <c r="L287" s="118" t="s">
        <v>159</v>
      </c>
      <c r="M287" s="118" t="s">
        <v>25</v>
      </c>
      <c r="N287" s="118"/>
      <c r="O287" s="160" t="s">
        <v>1459</v>
      </c>
      <c r="P287" s="168" t="s">
        <v>1460</v>
      </c>
    </row>
    <row r="288" spans="1:16" s="1" customFormat="1" ht="27.6" x14ac:dyDescent="0.3">
      <c r="A288" s="141">
        <v>286</v>
      </c>
      <c r="B288" s="152" t="s">
        <v>1461</v>
      </c>
      <c r="C288" s="121" t="s">
        <v>571</v>
      </c>
      <c r="D288" s="151" t="s">
        <v>564</v>
      </c>
      <c r="E288" s="132" t="s">
        <v>1461</v>
      </c>
      <c r="F288" s="118" t="s">
        <v>30</v>
      </c>
      <c r="G288" s="118" t="s">
        <v>21</v>
      </c>
      <c r="H288" s="138" t="s">
        <v>37</v>
      </c>
      <c r="I288" s="138" t="s">
        <v>331</v>
      </c>
      <c r="J288" s="118" t="s">
        <v>1462</v>
      </c>
      <c r="K288" s="118">
        <v>2019</v>
      </c>
      <c r="L288" s="118" t="s">
        <v>54</v>
      </c>
      <c r="M288" s="118" t="s">
        <v>25</v>
      </c>
      <c r="N288" s="118"/>
      <c r="O288" s="158" t="s">
        <v>1463</v>
      </c>
      <c r="P288" s="168"/>
    </row>
    <row r="289" spans="1:16" s="1" customFormat="1" ht="27.6" x14ac:dyDescent="0.3">
      <c r="A289" s="141">
        <v>287</v>
      </c>
      <c r="B289" s="152" t="s">
        <v>1464</v>
      </c>
      <c r="C289" s="121" t="s">
        <v>1465</v>
      </c>
      <c r="D289" s="151" t="s">
        <v>86</v>
      </c>
      <c r="E289" s="132" t="s">
        <v>1464</v>
      </c>
      <c r="F289" s="118" t="s">
        <v>30</v>
      </c>
      <c r="G289" s="118" t="s">
        <v>171</v>
      </c>
      <c r="H289" s="138" t="s">
        <v>37</v>
      </c>
      <c r="I289" s="118" t="s">
        <v>23</v>
      </c>
      <c r="J289" s="118" t="s">
        <v>1414</v>
      </c>
      <c r="K289" s="118">
        <v>2019</v>
      </c>
      <c r="L289" s="118" t="s">
        <v>314</v>
      </c>
      <c r="M289" s="118" t="s">
        <v>25</v>
      </c>
      <c r="N289" s="118"/>
      <c r="O289" s="158" t="s">
        <v>23</v>
      </c>
      <c r="P289" s="168" t="s">
        <v>1466</v>
      </c>
    </row>
    <row r="290" spans="1:16" s="1" customFormat="1" ht="27.6" x14ac:dyDescent="0.3">
      <c r="A290" s="141">
        <v>288</v>
      </c>
      <c r="B290" s="152" t="s">
        <v>1467</v>
      </c>
      <c r="C290" s="121" t="s">
        <v>1468</v>
      </c>
      <c r="D290" s="151" t="s">
        <v>99</v>
      </c>
      <c r="E290" s="132" t="s">
        <v>1467</v>
      </c>
      <c r="F290" s="118" t="s">
        <v>44</v>
      </c>
      <c r="G290" s="118" t="s">
        <v>87</v>
      </c>
      <c r="H290" s="118" t="s">
        <v>1469</v>
      </c>
      <c r="I290" s="138" t="s">
        <v>517</v>
      </c>
      <c r="J290" s="118" t="s">
        <v>1470</v>
      </c>
      <c r="K290" s="118">
        <v>2019</v>
      </c>
      <c r="L290" s="118" t="s">
        <v>90</v>
      </c>
      <c r="M290" s="118" t="s">
        <v>25</v>
      </c>
      <c r="N290" s="118"/>
      <c r="O290" s="158" t="s">
        <v>1471</v>
      </c>
      <c r="P290" s="168" t="s">
        <v>1472</v>
      </c>
    </row>
    <row r="291" spans="1:16" s="1" customFormat="1" ht="43.2" customHeight="1" x14ac:dyDescent="0.3">
      <c r="A291" s="154">
        <v>289</v>
      </c>
      <c r="B291" s="152" t="s">
        <v>1473</v>
      </c>
      <c r="C291" s="121" t="s">
        <v>485</v>
      </c>
      <c r="D291" s="151" t="s">
        <v>99</v>
      </c>
      <c r="E291" s="132" t="s">
        <v>1473</v>
      </c>
      <c r="F291" s="118" t="s">
        <v>44</v>
      </c>
      <c r="G291" s="118" t="s">
        <v>21</v>
      </c>
      <c r="H291" s="118" t="s">
        <v>1474</v>
      </c>
      <c r="I291" s="118" t="s">
        <v>487</v>
      </c>
      <c r="J291" s="118" t="s">
        <v>1386</v>
      </c>
      <c r="K291" s="118">
        <v>2019</v>
      </c>
      <c r="L291" s="118" t="s">
        <v>38</v>
      </c>
      <c r="M291" s="118" t="s">
        <v>39</v>
      </c>
      <c r="N291" s="155" t="s">
        <v>1475</v>
      </c>
      <c r="O291" s="160" t="s">
        <v>1476</v>
      </c>
      <c r="P291" s="168"/>
    </row>
    <row r="292" spans="1:16" s="1" customFormat="1" ht="21" x14ac:dyDescent="0.3">
      <c r="A292" s="141">
        <v>290</v>
      </c>
      <c r="B292" s="152" t="s">
        <v>1477</v>
      </c>
      <c r="C292" s="121" t="s">
        <v>1478</v>
      </c>
      <c r="D292" s="151" t="s">
        <v>99</v>
      </c>
      <c r="E292" s="132" t="s">
        <v>1477</v>
      </c>
      <c r="F292" s="118" t="s">
        <v>44</v>
      </c>
      <c r="G292" s="118" t="s">
        <v>87</v>
      </c>
      <c r="H292" s="118" t="s">
        <v>1479</v>
      </c>
      <c r="I292" s="118" t="s">
        <v>23</v>
      </c>
      <c r="J292" s="118" t="s">
        <v>1480</v>
      </c>
      <c r="K292" s="118">
        <v>2019</v>
      </c>
      <c r="L292" s="118" t="s">
        <v>159</v>
      </c>
      <c r="M292" s="118" t="s">
        <v>25</v>
      </c>
      <c r="N292" s="118"/>
      <c r="O292" s="158" t="s">
        <v>23</v>
      </c>
      <c r="P292" s="168" t="s">
        <v>1481</v>
      </c>
    </row>
    <row r="293" spans="1:16" s="1" customFormat="1" ht="27.6" x14ac:dyDescent="0.3">
      <c r="A293" s="141">
        <v>291</v>
      </c>
      <c r="B293" s="152" t="s">
        <v>1482</v>
      </c>
      <c r="C293" s="121" t="s">
        <v>1377</v>
      </c>
      <c r="D293" s="151" t="s">
        <v>99</v>
      </c>
      <c r="E293" s="132" t="s">
        <v>1482</v>
      </c>
      <c r="F293" s="118" t="s">
        <v>20</v>
      </c>
      <c r="G293" s="118" t="s">
        <v>21</v>
      </c>
      <c r="H293" s="138" t="s">
        <v>37</v>
      </c>
      <c r="I293" s="118" t="s">
        <v>23</v>
      </c>
      <c r="J293" s="118" t="s">
        <v>1414</v>
      </c>
      <c r="K293" s="118">
        <v>2019</v>
      </c>
      <c r="L293" s="118" t="s">
        <v>116</v>
      </c>
      <c r="M293" s="118" t="s">
        <v>25</v>
      </c>
      <c r="N293" s="118"/>
      <c r="O293" s="158" t="s">
        <v>23</v>
      </c>
      <c r="P293" s="168"/>
    </row>
    <row r="294" spans="1:16" s="1" customFormat="1" ht="27.6" x14ac:dyDescent="0.3">
      <c r="A294" s="141">
        <v>292</v>
      </c>
      <c r="B294" s="152" t="s">
        <v>1483</v>
      </c>
      <c r="C294" s="121" t="s">
        <v>1484</v>
      </c>
      <c r="D294" s="151" t="s">
        <v>99</v>
      </c>
      <c r="E294" s="132" t="s">
        <v>1483</v>
      </c>
      <c r="F294" s="118" t="s">
        <v>20</v>
      </c>
      <c r="G294" s="118" t="s">
        <v>21</v>
      </c>
      <c r="H294" s="138" t="s">
        <v>37</v>
      </c>
      <c r="I294" s="118" t="s">
        <v>23</v>
      </c>
      <c r="J294" s="118" t="s">
        <v>1485</v>
      </c>
      <c r="K294" s="118">
        <v>2019</v>
      </c>
      <c r="L294" s="118" t="s">
        <v>69</v>
      </c>
      <c r="M294" s="118" t="s">
        <v>25</v>
      </c>
      <c r="N294" s="118"/>
      <c r="O294" s="158" t="s">
        <v>23</v>
      </c>
      <c r="P294" s="168" t="s">
        <v>1486</v>
      </c>
    </row>
    <row r="295" spans="1:16" s="1" customFormat="1" ht="27.6" x14ac:dyDescent="0.3">
      <c r="A295" s="141">
        <v>293</v>
      </c>
      <c r="B295" s="152" t="s">
        <v>1487</v>
      </c>
      <c r="C295" s="121" t="s">
        <v>1116</v>
      </c>
      <c r="D295" s="151" t="s">
        <v>86</v>
      </c>
      <c r="E295" s="132" t="s">
        <v>1487</v>
      </c>
      <c r="F295" s="118" t="s">
        <v>30</v>
      </c>
      <c r="G295" s="118" t="s">
        <v>21</v>
      </c>
      <c r="H295" s="138" t="s">
        <v>37</v>
      </c>
      <c r="I295" s="118" t="s">
        <v>23</v>
      </c>
      <c r="J295" s="118" t="s">
        <v>1488</v>
      </c>
      <c r="K295" s="118">
        <v>2019</v>
      </c>
      <c r="L295" s="118" t="s">
        <v>54</v>
      </c>
      <c r="M295" s="118" t="s">
        <v>25</v>
      </c>
      <c r="N295" s="118"/>
      <c r="O295" s="158" t="s">
        <v>23</v>
      </c>
      <c r="P295" s="168" t="s">
        <v>1489</v>
      </c>
    </row>
    <row r="296" spans="1:16" s="1" customFormat="1" ht="27.6" x14ac:dyDescent="0.3">
      <c r="A296" s="141">
        <v>294</v>
      </c>
      <c r="B296" s="152" t="s">
        <v>1490</v>
      </c>
      <c r="C296" s="121" t="s">
        <v>1491</v>
      </c>
      <c r="D296" s="151" t="s">
        <v>73</v>
      </c>
      <c r="E296" s="132" t="s">
        <v>1490</v>
      </c>
      <c r="F296" s="118" t="s">
        <v>20</v>
      </c>
      <c r="G296" s="118" t="s">
        <v>21</v>
      </c>
      <c r="H296" s="138" t="s">
        <v>37</v>
      </c>
      <c r="I296" s="138" t="s">
        <v>305</v>
      </c>
      <c r="J296" s="118" t="s">
        <v>1492</v>
      </c>
      <c r="K296" s="118">
        <v>2019</v>
      </c>
      <c r="L296" s="118" t="s">
        <v>69</v>
      </c>
      <c r="M296" s="118" t="s">
        <v>25</v>
      </c>
      <c r="N296" s="118"/>
      <c r="O296" s="158" t="s">
        <v>23</v>
      </c>
      <c r="P296" s="168"/>
    </row>
    <row r="297" spans="1:16" s="1" customFormat="1" ht="27.6" x14ac:dyDescent="0.3">
      <c r="A297" s="141">
        <v>295</v>
      </c>
      <c r="B297" s="152" t="s">
        <v>1493</v>
      </c>
      <c r="C297" s="121" t="s">
        <v>1491</v>
      </c>
      <c r="D297" s="151" t="s">
        <v>73</v>
      </c>
      <c r="E297" s="132" t="s">
        <v>1493</v>
      </c>
      <c r="F297" s="118" t="s">
        <v>44</v>
      </c>
      <c r="G297" s="118" t="s">
        <v>21</v>
      </c>
      <c r="H297" s="118" t="s">
        <v>937</v>
      </c>
      <c r="I297" s="138" t="s">
        <v>1494</v>
      </c>
      <c r="J297" s="118" t="s">
        <v>1492</v>
      </c>
      <c r="K297" s="118">
        <v>2019</v>
      </c>
      <c r="L297" s="118" t="s">
        <v>69</v>
      </c>
      <c r="M297" s="118" t="s">
        <v>25</v>
      </c>
      <c r="N297" s="118"/>
      <c r="O297" s="158" t="s">
        <v>23</v>
      </c>
      <c r="P297" s="168" t="s">
        <v>1495</v>
      </c>
    </row>
    <row r="298" spans="1:16" s="1" customFormat="1" ht="54" x14ac:dyDescent="0.3">
      <c r="A298" s="141">
        <v>296</v>
      </c>
      <c r="B298" s="152" t="s">
        <v>1496</v>
      </c>
      <c r="C298" s="121" t="s">
        <v>1497</v>
      </c>
      <c r="D298" s="151" t="s">
        <v>202</v>
      </c>
      <c r="E298" s="132" t="s">
        <v>1496</v>
      </c>
      <c r="F298" s="118" t="s">
        <v>44</v>
      </c>
      <c r="G298" s="118" t="s">
        <v>203</v>
      </c>
      <c r="H298" s="118" t="s">
        <v>1498</v>
      </c>
      <c r="I298" s="118" t="s">
        <v>413</v>
      </c>
      <c r="J298" s="118" t="s">
        <v>1499</v>
      </c>
      <c r="K298" s="118">
        <v>2019</v>
      </c>
      <c r="L298" s="118" t="s">
        <v>1500</v>
      </c>
      <c r="M298" s="118" t="s">
        <v>39</v>
      </c>
      <c r="N298" s="118"/>
      <c r="O298" s="160" t="s">
        <v>1501</v>
      </c>
      <c r="P298" s="168" t="s">
        <v>1502</v>
      </c>
    </row>
    <row r="299" spans="1:16" s="1" customFormat="1" ht="36" x14ac:dyDescent="0.3">
      <c r="A299" s="137">
        <v>297</v>
      </c>
      <c r="B299" s="152" t="s">
        <v>1503</v>
      </c>
      <c r="C299" s="121" t="s">
        <v>1504</v>
      </c>
      <c r="D299" s="151" t="s">
        <v>86</v>
      </c>
      <c r="E299" s="132" t="s">
        <v>1503</v>
      </c>
      <c r="F299" s="118" t="s">
        <v>30</v>
      </c>
      <c r="G299" s="118" t="s">
        <v>21</v>
      </c>
      <c r="H299" s="118" t="s">
        <v>37</v>
      </c>
      <c r="I299" s="118" t="s">
        <v>165</v>
      </c>
      <c r="J299" s="118" t="s">
        <v>1505</v>
      </c>
      <c r="K299" s="118">
        <v>2019</v>
      </c>
      <c r="L299" s="118" t="s">
        <v>54</v>
      </c>
      <c r="M299" s="118" t="s">
        <v>25</v>
      </c>
      <c r="N299" s="120" t="s">
        <v>1506</v>
      </c>
      <c r="O299" s="158" t="s">
        <v>23</v>
      </c>
      <c r="P299" s="168"/>
    </row>
    <row r="300" spans="1:16" s="1" customFormat="1" ht="36" x14ac:dyDescent="0.3">
      <c r="A300" s="141">
        <v>298</v>
      </c>
      <c r="B300" s="152" t="s">
        <v>1507</v>
      </c>
      <c r="C300" s="121" t="s">
        <v>1508</v>
      </c>
      <c r="D300" s="151" t="s">
        <v>447</v>
      </c>
      <c r="E300" s="132" t="s">
        <v>1507</v>
      </c>
      <c r="F300" s="118" t="s">
        <v>20</v>
      </c>
      <c r="G300" s="118" t="s">
        <v>21</v>
      </c>
      <c r="H300" s="118" t="s">
        <v>37</v>
      </c>
      <c r="I300" s="118" t="s">
        <v>23</v>
      </c>
      <c r="J300" s="118" t="s">
        <v>1509</v>
      </c>
      <c r="K300" s="118">
        <v>2019</v>
      </c>
      <c r="L300" s="118" t="s">
        <v>54</v>
      </c>
      <c r="M300" s="118" t="s">
        <v>25</v>
      </c>
      <c r="N300" s="124" t="s">
        <v>1510</v>
      </c>
      <c r="O300" s="161" t="s">
        <v>23</v>
      </c>
      <c r="P300" s="132" t="s">
        <v>2476</v>
      </c>
    </row>
    <row r="301" spans="1:16" s="1" customFormat="1" ht="55.2" x14ac:dyDescent="0.3">
      <c r="A301" s="141">
        <v>299</v>
      </c>
      <c r="B301" s="152" t="s">
        <v>1511</v>
      </c>
      <c r="C301" s="121" t="s">
        <v>1512</v>
      </c>
      <c r="D301" s="151" t="s">
        <v>86</v>
      </c>
      <c r="E301" s="132" t="s">
        <v>1511</v>
      </c>
      <c r="F301" s="118" t="s">
        <v>325</v>
      </c>
      <c r="G301" s="118" t="s">
        <v>171</v>
      </c>
      <c r="H301" s="118" t="s">
        <v>1513</v>
      </c>
      <c r="I301" s="118" t="s">
        <v>226</v>
      </c>
      <c r="J301" s="118" t="s">
        <v>1334</v>
      </c>
      <c r="K301" s="118">
        <v>2019</v>
      </c>
      <c r="L301" s="118" t="s">
        <v>961</v>
      </c>
      <c r="M301" s="118" t="s">
        <v>25</v>
      </c>
      <c r="N301" s="118" t="s">
        <v>1514</v>
      </c>
      <c r="O301" s="158" t="s">
        <v>1515</v>
      </c>
      <c r="P301" s="168" t="s">
        <v>1516</v>
      </c>
    </row>
    <row r="302" spans="1:16" s="1" customFormat="1" ht="55.2" x14ac:dyDescent="0.3">
      <c r="A302" s="141">
        <v>300</v>
      </c>
      <c r="B302" s="152" t="s">
        <v>1517</v>
      </c>
      <c r="C302" s="121" t="s">
        <v>210</v>
      </c>
      <c r="D302" s="151" t="s">
        <v>43</v>
      </c>
      <c r="E302" s="132" t="s">
        <v>1517</v>
      </c>
      <c r="F302" s="118" t="s">
        <v>44</v>
      </c>
      <c r="G302" s="118" t="s">
        <v>21</v>
      </c>
      <c r="H302" s="118" t="s">
        <v>1518</v>
      </c>
      <c r="I302" s="138" t="s">
        <v>1519</v>
      </c>
      <c r="J302" s="118" t="s">
        <v>1520</v>
      </c>
      <c r="K302" s="118">
        <v>2019</v>
      </c>
      <c r="L302" s="124" t="s">
        <v>1521</v>
      </c>
      <c r="M302" s="118" t="s">
        <v>39</v>
      </c>
      <c r="N302" s="124" t="s">
        <v>1522</v>
      </c>
      <c r="O302" s="158" t="s">
        <v>1523</v>
      </c>
      <c r="P302" s="168" t="s">
        <v>2470</v>
      </c>
    </row>
    <row r="303" spans="1:16" s="1" customFormat="1" ht="27.6" x14ac:dyDescent="0.3">
      <c r="A303" s="141">
        <v>301</v>
      </c>
      <c r="B303" s="152" t="s">
        <v>1524</v>
      </c>
      <c r="C303" s="121" t="s">
        <v>1525</v>
      </c>
      <c r="D303" s="151" t="s">
        <v>604</v>
      </c>
      <c r="E303" s="132" t="s">
        <v>1524</v>
      </c>
      <c r="F303" s="118" t="s">
        <v>20</v>
      </c>
      <c r="G303" s="118" t="s">
        <v>21</v>
      </c>
      <c r="H303" s="118" t="s">
        <v>1526</v>
      </c>
      <c r="I303" s="138" t="s">
        <v>192</v>
      </c>
      <c r="J303" s="118" t="s">
        <v>1488</v>
      </c>
      <c r="K303" s="118">
        <v>2019</v>
      </c>
      <c r="L303" s="118" t="s">
        <v>1527</v>
      </c>
      <c r="M303" s="118" t="s">
        <v>25</v>
      </c>
      <c r="N303" s="118"/>
      <c r="O303" s="158" t="s">
        <v>1528</v>
      </c>
      <c r="P303" s="168" t="s">
        <v>1529</v>
      </c>
    </row>
    <row r="304" spans="1:16" s="1" customFormat="1" ht="27.6" x14ac:dyDescent="0.3">
      <c r="A304" s="141">
        <v>302</v>
      </c>
      <c r="B304" s="152" t="s">
        <v>1530</v>
      </c>
      <c r="C304" s="121" t="s">
        <v>2451</v>
      </c>
      <c r="D304" s="151" t="s">
        <v>57</v>
      </c>
      <c r="E304" s="132" t="s">
        <v>1530</v>
      </c>
      <c r="F304" s="118" t="s">
        <v>44</v>
      </c>
      <c r="G304" s="118" t="s">
        <v>171</v>
      </c>
      <c r="H304" s="118" t="s">
        <v>1531</v>
      </c>
      <c r="I304" s="138" t="s">
        <v>1532</v>
      </c>
      <c r="J304" s="118" t="s">
        <v>1533</v>
      </c>
      <c r="K304" s="118">
        <v>2019</v>
      </c>
      <c r="L304" s="118" t="s">
        <v>1534</v>
      </c>
      <c r="M304" s="118" t="s">
        <v>39</v>
      </c>
      <c r="N304" s="118"/>
      <c r="O304" s="158" t="s">
        <v>1532</v>
      </c>
      <c r="P304" s="168"/>
    </row>
    <row r="305" spans="1:16" s="1" customFormat="1" ht="35.4" customHeight="1" x14ac:dyDescent="0.3">
      <c r="A305" s="154">
        <v>303</v>
      </c>
      <c r="B305" s="152" t="s">
        <v>1535</v>
      </c>
      <c r="C305" s="121" t="s">
        <v>1536</v>
      </c>
      <c r="D305" s="151" t="s">
        <v>35</v>
      </c>
      <c r="E305" s="132" t="s">
        <v>1535</v>
      </c>
      <c r="F305" s="118" t="s">
        <v>20</v>
      </c>
      <c r="G305" s="118" t="s">
        <v>21</v>
      </c>
      <c r="H305" s="118" t="s">
        <v>37</v>
      </c>
      <c r="I305" s="138" t="s">
        <v>23</v>
      </c>
      <c r="J305" s="118" t="s">
        <v>1537</v>
      </c>
      <c r="K305" s="118">
        <v>2019</v>
      </c>
      <c r="L305" s="118" t="s">
        <v>24</v>
      </c>
      <c r="M305" s="118" t="s">
        <v>25</v>
      </c>
      <c r="N305" s="155" t="s">
        <v>1538</v>
      </c>
      <c r="O305" s="158" t="s">
        <v>23</v>
      </c>
      <c r="P305" s="168"/>
    </row>
    <row r="306" spans="1:16" s="1" customFormat="1" ht="41.4" x14ac:dyDescent="0.3">
      <c r="A306" s="141">
        <v>304</v>
      </c>
      <c r="B306" s="152" t="s">
        <v>1539</v>
      </c>
      <c r="C306" s="121" t="s">
        <v>210</v>
      </c>
      <c r="D306" s="151" t="s">
        <v>43</v>
      </c>
      <c r="E306" s="132" t="s">
        <v>1539</v>
      </c>
      <c r="F306" s="118" t="s">
        <v>44</v>
      </c>
      <c r="G306" s="118" t="s">
        <v>21</v>
      </c>
      <c r="H306" s="118" t="s">
        <v>1540</v>
      </c>
      <c r="I306" s="138" t="s">
        <v>265</v>
      </c>
      <c r="J306" s="118" t="s">
        <v>1541</v>
      </c>
      <c r="K306" s="118">
        <v>2020</v>
      </c>
      <c r="L306" s="118" t="s">
        <v>1542</v>
      </c>
      <c r="M306" s="118" t="s">
        <v>39</v>
      </c>
      <c r="N306" s="118"/>
      <c r="O306" s="158" t="s">
        <v>23</v>
      </c>
      <c r="P306" s="168"/>
    </row>
    <row r="307" spans="1:16" s="1" customFormat="1" ht="54" x14ac:dyDescent="0.3">
      <c r="A307" s="141">
        <v>305</v>
      </c>
      <c r="B307" s="152" t="s">
        <v>1543</v>
      </c>
      <c r="C307" s="121" t="s">
        <v>1544</v>
      </c>
      <c r="D307" s="151" t="s">
        <v>99</v>
      </c>
      <c r="E307" s="132" t="s">
        <v>1543</v>
      </c>
      <c r="F307" s="118" t="s">
        <v>325</v>
      </c>
      <c r="G307" s="118" t="s">
        <v>58</v>
      </c>
      <c r="H307" s="118" t="s">
        <v>37</v>
      </c>
      <c r="I307" s="138" t="s">
        <v>606</v>
      </c>
      <c r="J307" s="118" t="s">
        <v>1545</v>
      </c>
      <c r="K307" s="118">
        <v>2020</v>
      </c>
      <c r="L307" s="118" t="s">
        <v>961</v>
      </c>
      <c r="M307" s="118" t="s">
        <v>25</v>
      </c>
      <c r="N307" s="118"/>
      <c r="O307" s="158" t="s">
        <v>23</v>
      </c>
      <c r="P307" s="168"/>
    </row>
    <row r="308" spans="1:16" s="1" customFormat="1" ht="55.2" x14ac:dyDescent="0.3">
      <c r="A308" s="141">
        <v>306</v>
      </c>
      <c r="B308" s="152" t="s">
        <v>1546</v>
      </c>
      <c r="C308" s="121" t="s">
        <v>1547</v>
      </c>
      <c r="D308" s="151" t="s">
        <v>43</v>
      </c>
      <c r="E308" s="132" t="s">
        <v>1546</v>
      </c>
      <c r="F308" s="118" t="s">
        <v>20</v>
      </c>
      <c r="G308" s="118" t="s">
        <v>21</v>
      </c>
      <c r="H308" s="118" t="s">
        <v>37</v>
      </c>
      <c r="I308" s="138" t="s">
        <v>157</v>
      </c>
      <c r="J308" s="118" t="s">
        <v>1548</v>
      </c>
      <c r="K308" s="118">
        <v>2020</v>
      </c>
      <c r="L308" s="118" t="s">
        <v>69</v>
      </c>
      <c r="M308" s="118" t="s">
        <v>25</v>
      </c>
      <c r="N308" s="118"/>
      <c r="O308" s="160" t="s">
        <v>1549</v>
      </c>
      <c r="P308" s="168" t="s">
        <v>1550</v>
      </c>
    </row>
    <row r="309" spans="1:16" s="1" customFormat="1" ht="27.6" x14ac:dyDescent="0.3">
      <c r="A309" s="141">
        <v>307</v>
      </c>
      <c r="B309" s="152" t="s">
        <v>1551</v>
      </c>
      <c r="C309" s="121" t="s">
        <v>689</v>
      </c>
      <c r="D309" s="151" t="s">
        <v>99</v>
      </c>
      <c r="E309" s="132" t="s">
        <v>1551</v>
      </c>
      <c r="F309" s="118" t="s">
        <v>44</v>
      </c>
      <c r="G309" s="118" t="s">
        <v>21</v>
      </c>
      <c r="H309" s="118" t="s">
        <v>1552</v>
      </c>
      <c r="I309" s="118" t="s">
        <v>23</v>
      </c>
      <c r="J309" s="118" t="s">
        <v>1553</v>
      </c>
      <c r="K309" s="118">
        <v>2020</v>
      </c>
      <c r="L309" s="118" t="s">
        <v>159</v>
      </c>
      <c r="M309" s="118" t="s">
        <v>25</v>
      </c>
      <c r="N309" s="118"/>
      <c r="O309" s="160" t="s">
        <v>1554</v>
      </c>
      <c r="P309" s="168"/>
    </row>
    <row r="310" spans="1:16" s="1" customFormat="1" ht="55.2" x14ac:dyDescent="0.3">
      <c r="A310" s="135">
        <v>308</v>
      </c>
      <c r="B310" s="152" t="s">
        <v>1555</v>
      </c>
      <c r="C310" s="121" t="s">
        <v>1556</v>
      </c>
      <c r="D310" s="151" t="s">
        <v>129</v>
      </c>
      <c r="E310" s="132" t="s">
        <v>1555</v>
      </c>
      <c r="F310" s="118" t="s">
        <v>20</v>
      </c>
      <c r="G310" s="118" t="s">
        <v>21</v>
      </c>
      <c r="H310" s="118" t="s">
        <v>37</v>
      </c>
      <c r="I310" s="118" t="s">
        <v>23</v>
      </c>
      <c r="J310" s="118" t="s">
        <v>23</v>
      </c>
      <c r="K310" s="118">
        <v>2020</v>
      </c>
      <c r="L310" s="118" t="s">
        <v>54</v>
      </c>
      <c r="M310" s="118" t="s">
        <v>25</v>
      </c>
      <c r="N310" s="124" t="s">
        <v>1557</v>
      </c>
      <c r="O310" s="160" t="s">
        <v>1558</v>
      </c>
      <c r="P310" s="168"/>
    </row>
    <row r="311" spans="1:16" s="1" customFormat="1" ht="27.6" x14ac:dyDescent="0.3">
      <c r="A311" s="141">
        <v>309</v>
      </c>
      <c r="B311" s="152" t="s">
        <v>1559</v>
      </c>
      <c r="C311" s="121" t="s">
        <v>1560</v>
      </c>
      <c r="D311" s="151" t="s">
        <v>447</v>
      </c>
      <c r="E311" s="132" t="s">
        <v>1559</v>
      </c>
      <c r="F311" s="118" t="s">
        <v>325</v>
      </c>
      <c r="G311" s="118" t="s">
        <v>171</v>
      </c>
      <c r="H311" s="118" t="s">
        <v>37</v>
      </c>
      <c r="I311" s="138" t="s">
        <v>707</v>
      </c>
      <c r="J311" s="118" t="s">
        <v>1561</v>
      </c>
      <c r="K311" s="118">
        <v>2020</v>
      </c>
      <c r="L311" s="118" t="s">
        <v>961</v>
      </c>
      <c r="M311" s="118" t="s">
        <v>25</v>
      </c>
      <c r="N311" s="118"/>
      <c r="O311" s="158" t="s">
        <v>23</v>
      </c>
      <c r="P311" s="168"/>
    </row>
    <row r="312" spans="1:16" s="1" customFormat="1" ht="69" x14ac:dyDescent="0.3">
      <c r="A312" s="141">
        <v>310</v>
      </c>
      <c r="B312" s="152" t="s">
        <v>1562</v>
      </c>
      <c r="C312" s="121" t="s">
        <v>122</v>
      </c>
      <c r="D312" s="151" t="s">
        <v>65</v>
      </c>
      <c r="E312" s="132" t="s">
        <v>1562</v>
      </c>
      <c r="F312" s="118" t="s">
        <v>44</v>
      </c>
      <c r="G312" s="118" t="s">
        <v>65</v>
      </c>
      <c r="H312" s="118" t="s">
        <v>1563</v>
      </c>
      <c r="I312" s="118" t="s">
        <v>606</v>
      </c>
      <c r="J312" s="118" t="s">
        <v>1564</v>
      </c>
      <c r="K312" s="118">
        <v>2020</v>
      </c>
      <c r="L312" s="118" t="s">
        <v>1565</v>
      </c>
      <c r="M312" s="118" t="s">
        <v>25</v>
      </c>
      <c r="N312" s="118"/>
      <c r="O312" s="158" t="s">
        <v>1234</v>
      </c>
      <c r="P312" s="168" t="s">
        <v>1566</v>
      </c>
    </row>
    <row r="313" spans="1:16" s="1" customFormat="1" ht="21" x14ac:dyDescent="0.3">
      <c r="A313" s="141">
        <v>311</v>
      </c>
      <c r="B313" s="152" t="s">
        <v>1567</v>
      </c>
      <c r="C313" s="121" t="s">
        <v>1568</v>
      </c>
      <c r="D313" s="151" t="s">
        <v>73</v>
      </c>
      <c r="E313" s="132" t="s">
        <v>1567</v>
      </c>
      <c r="F313" s="118" t="s">
        <v>20</v>
      </c>
      <c r="G313" s="118" t="s">
        <v>21</v>
      </c>
      <c r="H313" s="118" t="s">
        <v>37</v>
      </c>
      <c r="I313" s="118" t="s">
        <v>23</v>
      </c>
      <c r="J313" s="118" t="s">
        <v>1569</v>
      </c>
      <c r="K313" s="118">
        <v>2020</v>
      </c>
      <c r="L313" s="118" t="s">
        <v>314</v>
      </c>
      <c r="M313" s="118" t="s">
        <v>25</v>
      </c>
      <c r="N313" s="118"/>
      <c r="O313" s="158" t="s">
        <v>23</v>
      </c>
      <c r="P313" s="168"/>
    </row>
    <row r="314" spans="1:16" s="1" customFormat="1" ht="54" x14ac:dyDescent="0.3">
      <c r="A314" s="141">
        <v>312</v>
      </c>
      <c r="B314" s="152" t="s">
        <v>1570</v>
      </c>
      <c r="C314" s="121" t="s">
        <v>1571</v>
      </c>
      <c r="D314" s="151" t="s">
        <v>202</v>
      </c>
      <c r="E314" s="132" t="s">
        <v>1570</v>
      </c>
      <c r="F314" s="118" t="s">
        <v>325</v>
      </c>
      <c r="G314" s="118" t="s">
        <v>469</v>
      </c>
      <c r="H314" s="118" t="s">
        <v>1572</v>
      </c>
      <c r="I314" s="138" t="s">
        <v>82</v>
      </c>
      <c r="J314" s="118" t="s">
        <v>1561</v>
      </c>
      <c r="K314" s="118">
        <v>2020</v>
      </c>
      <c r="L314" s="118" t="s">
        <v>126</v>
      </c>
      <c r="M314" s="118" t="s">
        <v>25</v>
      </c>
      <c r="N314" s="203"/>
      <c r="O314" s="160" t="s">
        <v>1573</v>
      </c>
      <c r="P314" s="168" t="s">
        <v>1574</v>
      </c>
    </row>
    <row r="315" spans="1:16" s="1" customFormat="1" ht="27.6" x14ac:dyDescent="0.3">
      <c r="A315" s="141">
        <v>313</v>
      </c>
      <c r="B315" s="152" t="s">
        <v>1575</v>
      </c>
      <c r="C315" s="121" t="s">
        <v>1576</v>
      </c>
      <c r="D315" s="151" t="s">
        <v>43</v>
      </c>
      <c r="E315" s="132" t="s">
        <v>1575</v>
      </c>
      <c r="F315" s="118" t="s">
        <v>20</v>
      </c>
      <c r="G315" s="118" t="s">
        <v>21</v>
      </c>
      <c r="H315" s="118" t="s">
        <v>37</v>
      </c>
      <c r="I315" s="138" t="s">
        <v>331</v>
      </c>
      <c r="J315" s="118" t="s">
        <v>1577</v>
      </c>
      <c r="K315" s="118">
        <v>2020</v>
      </c>
      <c r="L315" s="118" t="s">
        <v>54</v>
      </c>
      <c r="M315" s="118" t="s">
        <v>25</v>
      </c>
      <c r="N315" s="118"/>
      <c r="O315" s="160" t="s">
        <v>1578</v>
      </c>
      <c r="P315" s="168"/>
    </row>
    <row r="316" spans="1:16" s="1" customFormat="1" ht="21" x14ac:dyDescent="0.3">
      <c r="A316" s="141">
        <v>314</v>
      </c>
      <c r="B316" s="152" t="s">
        <v>1579</v>
      </c>
      <c r="C316" s="121" t="s">
        <v>93</v>
      </c>
      <c r="D316" s="151" t="s">
        <v>94</v>
      </c>
      <c r="E316" s="132" t="s">
        <v>1579</v>
      </c>
      <c r="F316" s="118" t="s">
        <v>44</v>
      </c>
      <c r="G316" s="118" t="s">
        <v>21</v>
      </c>
      <c r="H316" s="118" t="s">
        <v>1580</v>
      </c>
      <c r="I316" s="118" t="s">
        <v>606</v>
      </c>
      <c r="J316" s="118" t="s">
        <v>1581</v>
      </c>
      <c r="K316" s="118">
        <v>2020</v>
      </c>
      <c r="L316" s="118" t="s">
        <v>54</v>
      </c>
      <c r="M316" s="118" t="s">
        <v>25</v>
      </c>
      <c r="N316" s="118"/>
      <c r="O316" s="160" t="s">
        <v>1582</v>
      </c>
      <c r="P316" s="168"/>
    </row>
    <row r="317" spans="1:16" s="1" customFormat="1" ht="41.4" x14ac:dyDescent="0.3">
      <c r="A317" s="141">
        <v>315</v>
      </c>
      <c r="B317" s="152" t="s">
        <v>1583</v>
      </c>
      <c r="C317" s="121" t="s">
        <v>1584</v>
      </c>
      <c r="D317" s="151" t="s">
        <v>94</v>
      </c>
      <c r="E317" s="132" t="s">
        <v>1583</v>
      </c>
      <c r="F317" s="118" t="s">
        <v>325</v>
      </c>
      <c r="G317" s="118" t="s">
        <v>171</v>
      </c>
      <c r="H317" s="118" t="s">
        <v>37</v>
      </c>
      <c r="I317" s="138" t="s">
        <v>707</v>
      </c>
      <c r="J317" s="118" t="s">
        <v>1585</v>
      </c>
      <c r="K317" s="118">
        <v>2020</v>
      </c>
      <c r="L317" s="118" t="s">
        <v>961</v>
      </c>
      <c r="M317" s="118" t="s">
        <v>25</v>
      </c>
      <c r="N317" s="118"/>
      <c r="O317" s="160" t="s">
        <v>1586</v>
      </c>
      <c r="P317" s="168"/>
    </row>
    <row r="318" spans="1:16" s="1" customFormat="1" ht="78" customHeight="1" x14ac:dyDescent="0.3">
      <c r="A318" s="141">
        <v>316</v>
      </c>
      <c r="B318" s="152" t="s">
        <v>1587</v>
      </c>
      <c r="C318" s="121" t="s">
        <v>681</v>
      </c>
      <c r="D318" s="151" t="s">
        <v>682</v>
      </c>
      <c r="E318" s="132" t="s">
        <v>1587</v>
      </c>
      <c r="F318" s="118" t="s">
        <v>20</v>
      </c>
      <c r="G318" s="118" t="s">
        <v>21</v>
      </c>
      <c r="H318" s="118" t="s">
        <v>37</v>
      </c>
      <c r="I318" s="138" t="s">
        <v>1588</v>
      </c>
      <c r="J318" s="118" t="s">
        <v>1585</v>
      </c>
      <c r="K318" s="118">
        <v>2020</v>
      </c>
      <c r="L318" s="118" t="s">
        <v>54</v>
      </c>
      <c r="M318" s="118" t="s">
        <v>25</v>
      </c>
      <c r="N318" s="118"/>
      <c r="O318" s="160" t="s">
        <v>1589</v>
      </c>
      <c r="P318" s="168"/>
    </row>
    <row r="319" spans="1:16" s="1" customFormat="1" ht="41.4" x14ac:dyDescent="0.3">
      <c r="A319" s="141">
        <v>317</v>
      </c>
      <c r="B319" s="152" t="s">
        <v>1590</v>
      </c>
      <c r="C319" s="121" t="s">
        <v>1591</v>
      </c>
      <c r="D319" s="151" t="s">
        <v>99</v>
      </c>
      <c r="E319" s="132" t="s">
        <v>1590</v>
      </c>
      <c r="F319" s="118" t="s">
        <v>20</v>
      </c>
      <c r="G319" s="118" t="s">
        <v>21</v>
      </c>
      <c r="H319" s="118" t="s">
        <v>37</v>
      </c>
      <c r="I319" s="138" t="s">
        <v>67</v>
      </c>
      <c r="J319" s="118" t="s">
        <v>1561</v>
      </c>
      <c r="K319" s="118">
        <v>2020</v>
      </c>
      <c r="L319" s="118" t="s">
        <v>54</v>
      </c>
      <c r="M319" s="118" t="s">
        <v>25</v>
      </c>
      <c r="N319" s="118"/>
      <c r="O319" s="160" t="s">
        <v>1592</v>
      </c>
      <c r="P319" s="168"/>
    </row>
    <row r="320" spans="1:16" s="1" customFormat="1" ht="41.4" x14ac:dyDescent="0.3">
      <c r="A320" s="141">
        <v>318</v>
      </c>
      <c r="B320" s="152" t="s">
        <v>1593</v>
      </c>
      <c r="C320" s="121" t="s">
        <v>1594</v>
      </c>
      <c r="D320" s="151" t="s">
        <v>29</v>
      </c>
      <c r="E320" s="132" t="s">
        <v>1593</v>
      </c>
      <c r="F320" s="118" t="s">
        <v>30</v>
      </c>
      <c r="G320" s="118" t="s">
        <v>21</v>
      </c>
      <c r="H320" s="118" t="s">
        <v>37</v>
      </c>
      <c r="I320" s="138" t="s">
        <v>165</v>
      </c>
      <c r="J320" s="118" t="s">
        <v>1595</v>
      </c>
      <c r="K320" s="118">
        <v>2020</v>
      </c>
      <c r="L320" s="118" t="s">
        <v>54</v>
      </c>
      <c r="M320" s="118" t="s">
        <v>25</v>
      </c>
      <c r="N320" s="124" t="s">
        <v>1506</v>
      </c>
      <c r="O320" s="160" t="s">
        <v>1596</v>
      </c>
      <c r="P320" s="168" t="s">
        <v>1597</v>
      </c>
    </row>
    <row r="321" spans="1:16" s="1" customFormat="1" ht="55.2" x14ac:dyDescent="0.3">
      <c r="A321" s="141">
        <v>319</v>
      </c>
      <c r="B321" s="152" t="s">
        <v>1598</v>
      </c>
      <c r="C321" s="121" t="s">
        <v>1599</v>
      </c>
      <c r="D321" s="151" t="s">
        <v>43</v>
      </c>
      <c r="E321" s="132" t="s">
        <v>1598</v>
      </c>
      <c r="F321" s="118" t="s">
        <v>20</v>
      </c>
      <c r="G321" s="118" t="s">
        <v>21</v>
      </c>
      <c r="H321" s="118" t="s">
        <v>37</v>
      </c>
      <c r="I321" s="138" t="s">
        <v>2452</v>
      </c>
      <c r="J321" s="118" t="s">
        <v>23</v>
      </c>
      <c r="K321" s="118">
        <v>2020</v>
      </c>
      <c r="L321" s="118" t="s">
        <v>159</v>
      </c>
      <c r="M321" s="118" t="s">
        <v>25</v>
      </c>
      <c r="N321" s="124" t="s">
        <v>1600</v>
      </c>
      <c r="O321" s="160" t="s">
        <v>1601</v>
      </c>
      <c r="P321" s="168"/>
    </row>
    <row r="322" spans="1:16" s="1" customFormat="1" ht="55.2" x14ac:dyDescent="0.3">
      <c r="A322" s="141">
        <v>320</v>
      </c>
      <c r="B322" s="152" t="s">
        <v>1602</v>
      </c>
      <c r="C322" s="121" t="s">
        <v>1603</v>
      </c>
      <c r="D322" s="151" t="s">
        <v>359</v>
      </c>
      <c r="E322" s="132" t="s">
        <v>1602</v>
      </c>
      <c r="F322" s="118" t="s">
        <v>30</v>
      </c>
      <c r="G322" s="118" t="s">
        <v>87</v>
      </c>
      <c r="H322" s="118" t="s">
        <v>1604</v>
      </c>
      <c r="I322" s="118" t="s">
        <v>165</v>
      </c>
      <c r="J322" s="118" t="s">
        <v>1605</v>
      </c>
      <c r="K322" s="118">
        <v>2020</v>
      </c>
      <c r="L322" s="118" t="s">
        <v>54</v>
      </c>
      <c r="M322" s="118" t="s">
        <v>25</v>
      </c>
      <c r="N322" s="124" t="s">
        <v>1606</v>
      </c>
      <c r="O322" s="160" t="s">
        <v>1607</v>
      </c>
      <c r="P322" s="168"/>
    </row>
    <row r="323" spans="1:16" s="1" customFormat="1" ht="41.4" x14ac:dyDescent="0.3">
      <c r="A323" s="141">
        <v>321</v>
      </c>
      <c r="B323" s="152" t="s">
        <v>1608</v>
      </c>
      <c r="C323" s="121" t="s">
        <v>341</v>
      </c>
      <c r="D323" s="151" t="s">
        <v>99</v>
      </c>
      <c r="E323" s="132" t="s">
        <v>1608</v>
      </c>
      <c r="F323" s="118" t="s">
        <v>44</v>
      </c>
      <c r="G323" s="118" t="s">
        <v>21</v>
      </c>
      <c r="H323" s="118" t="s">
        <v>1609</v>
      </c>
      <c r="I323" s="138" t="s">
        <v>2459</v>
      </c>
      <c r="J323" s="118" t="s">
        <v>1610</v>
      </c>
      <c r="K323" s="118">
        <v>2020</v>
      </c>
      <c r="L323" s="118" t="s">
        <v>159</v>
      </c>
      <c r="M323" s="118" t="s">
        <v>25</v>
      </c>
      <c r="N323" s="118"/>
      <c r="O323" s="160" t="s">
        <v>1611</v>
      </c>
      <c r="P323" s="132" t="s">
        <v>2499</v>
      </c>
    </row>
    <row r="324" spans="1:16" s="1" customFormat="1" ht="27.6" x14ac:dyDescent="0.3">
      <c r="A324" s="141">
        <v>322</v>
      </c>
      <c r="B324" s="152" t="s">
        <v>1612</v>
      </c>
      <c r="C324" s="121" t="s">
        <v>1613</v>
      </c>
      <c r="D324" s="151" t="s">
        <v>1614</v>
      </c>
      <c r="E324" s="132" t="s">
        <v>1612</v>
      </c>
      <c r="F324" s="118" t="s">
        <v>20</v>
      </c>
      <c r="G324" s="118" t="s">
        <v>21</v>
      </c>
      <c r="H324" s="118" t="s">
        <v>1526</v>
      </c>
      <c r="I324" s="118" t="s">
        <v>305</v>
      </c>
      <c r="J324" s="118" t="s">
        <v>1595</v>
      </c>
      <c r="K324" s="118">
        <v>2020</v>
      </c>
      <c r="L324" s="118" t="s">
        <v>54</v>
      </c>
      <c r="M324" s="118" t="s">
        <v>25</v>
      </c>
      <c r="N324" s="118"/>
      <c r="O324" s="158" t="s">
        <v>1615</v>
      </c>
      <c r="P324" s="168" t="s">
        <v>1616</v>
      </c>
    </row>
    <row r="325" spans="1:16" s="1" customFormat="1" ht="27.6" x14ac:dyDescent="0.3">
      <c r="A325" s="141">
        <v>323</v>
      </c>
      <c r="B325" s="152" t="s">
        <v>1617</v>
      </c>
      <c r="C325" s="121" t="s">
        <v>1618</v>
      </c>
      <c r="D325" s="151" t="s">
        <v>1212</v>
      </c>
      <c r="E325" s="132" t="s">
        <v>1617</v>
      </c>
      <c r="F325" s="118" t="s">
        <v>325</v>
      </c>
      <c r="G325" s="118" t="s">
        <v>21</v>
      </c>
      <c r="H325" s="118" t="s">
        <v>37</v>
      </c>
      <c r="I325" s="118" t="s">
        <v>305</v>
      </c>
      <c r="J325" s="118" t="s">
        <v>1619</v>
      </c>
      <c r="K325" s="118">
        <v>2020</v>
      </c>
      <c r="L325" s="118" t="s">
        <v>961</v>
      </c>
      <c r="M325" s="118" t="s">
        <v>25</v>
      </c>
      <c r="N325" s="118"/>
      <c r="O325" s="158" t="s">
        <v>1620</v>
      </c>
      <c r="P325" s="168"/>
    </row>
    <row r="326" spans="1:16" s="1" customFormat="1" ht="41.4" x14ac:dyDescent="0.3">
      <c r="A326" s="135">
        <v>324</v>
      </c>
      <c r="B326" s="152" t="s">
        <v>1621</v>
      </c>
      <c r="C326" s="121" t="s">
        <v>1622</v>
      </c>
      <c r="D326" s="151" t="s">
        <v>129</v>
      </c>
      <c r="E326" s="132" t="s">
        <v>1621</v>
      </c>
      <c r="F326" s="118" t="s">
        <v>20</v>
      </c>
      <c r="G326" s="118" t="s">
        <v>21</v>
      </c>
      <c r="H326" s="118" t="s">
        <v>37</v>
      </c>
      <c r="I326" s="118" t="s">
        <v>305</v>
      </c>
      <c r="J326" s="118" t="s">
        <v>2493</v>
      </c>
      <c r="K326" s="118">
        <v>2020</v>
      </c>
      <c r="L326" s="118" t="s">
        <v>54</v>
      </c>
      <c r="M326" s="118" t="s">
        <v>25</v>
      </c>
      <c r="N326" s="124" t="s">
        <v>1600</v>
      </c>
      <c r="O326" s="160" t="s">
        <v>1623</v>
      </c>
      <c r="P326" s="132" t="s">
        <v>2494</v>
      </c>
    </row>
    <row r="327" spans="1:16" s="1" customFormat="1" ht="96.6" x14ac:dyDescent="0.3">
      <c r="A327" s="141">
        <v>325</v>
      </c>
      <c r="B327" s="152" t="s">
        <v>1624</v>
      </c>
      <c r="C327" s="121" t="s">
        <v>496</v>
      </c>
      <c r="D327" s="151" t="s">
        <v>65</v>
      </c>
      <c r="E327" s="132" t="s">
        <v>1624</v>
      </c>
      <c r="F327" s="118" t="s">
        <v>256</v>
      </c>
      <c r="G327" s="118" t="s">
        <v>65</v>
      </c>
      <c r="H327" s="118" t="s">
        <v>1625</v>
      </c>
      <c r="I327" s="118" t="s">
        <v>471</v>
      </c>
      <c r="J327" s="118" t="s">
        <v>1626</v>
      </c>
      <c r="K327" s="118">
        <v>2020</v>
      </c>
      <c r="L327" s="118" t="s">
        <v>612</v>
      </c>
      <c r="M327" s="118" t="s">
        <v>39</v>
      </c>
      <c r="N327" s="118"/>
      <c r="O327" s="160" t="s">
        <v>1627</v>
      </c>
      <c r="P327" s="168"/>
    </row>
    <row r="328" spans="1:16" s="1" customFormat="1" ht="27.6" x14ac:dyDescent="0.3">
      <c r="A328" s="154">
        <v>326</v>
      </c>
      <c r="B328" s="152" t="s">
        <v>1628</v>
      </c>
      <c r="C328" s="121" t="s">
        <v>1629</v>
      </c>
      <c r="D328" s="151" t="s">
        <v>86</v>
      </c>
      <c r="E328" s="132" t="s">
        <v>1628</v>
      </c>
      <c r="F328" s="118" t="s">
        <v>44</v>
      </c>
      <c r="G328" s="118" t="s">
        <v>87</v>
      </c>
      <c r="H328" s="118" t="s">
        <v>1630</v>
      </c>
      <c r="I328" s="118" t="s">
        <v>785</v>
      </c>
      <c r="J328" s="118" t="s">
        <v>1631</v>
      </c>
      <c r="K328" s="118">
        <v>2020</v>
      </c>
      <c r="L328" s="118" t="s">
        <v>281</v>
      </c>
      <c r="M328" s="118" t="s">
        <v>39</v>
      </c>
      <c r="N328" s="118"/>
      <c r="O328" s="160" t="s">
        <v>1632</v>
      </c>
      <c r="P328" s="168"/>
    </row>
    <row r="329" spans="1:16" s="1" customFormat="1" ht="21" x14ac:dyDescent="0.3">
      <c r="A329" s="141">
        <v>327</v>
      </c>
      <c r="B329" s="152" t="s">
        <v>1633</v>
      </c>
      <c r="C329" s="121" t="s">
        <v>1634</v>
      </c>
      <c r="D329" s="151" t="s">
        <v>99</v>
      </c>
      <c r="E329" s="132" t="s">
        <v>1633</v>
      </c>
      <c r="F329" s="118" t="s">
        <v>44</v>
      </c>
      <c r="G329" s="118" t="s">
        <v>644</v>
      </c>
      <c r="H329" s="118" t="s">
        <v>1635</v>
      </c>
      <c r="I329" s="118" t="s">
        <v>305</v>
      </c>
      <c r="J329" s="118" t="s">
        <v>1636</v>
      </c>
      <c r="K329" s="118">
        <v>2021</v>
      </c>
      <c r="L329" s="118" t="s">
        <v>1637</v>
      </c>
      <c r="M329" s="118" t="s">
        <v>25</v>
      </c>
      <c r="N329" s="118"/>
      <c r="O329" s="160" t="s">
        <v>1638</v>
      </c>
      <c r="P329" s="168" t="s">
        <v>2471</v>
      </c>
    </row>
    <row r="330" spans="1:16" s="1" customFormat="1" ht="21" x14ac:dyDescent="0.3">
      <c r="A330" s="141">
        <v>328</v>
      </c>
      <c r="B330" s="152" t="s">
        <v>1639</v>
      </c>
      <c r="C330" s="121" t="s">
        <v>1640</v>
      </c>
      <c r="D330" s="151" t="s">
        <v>99</v>
      </c>
      <c r="E330" s="132" t="s">
        <v>1639</v>
      </c>
      <c r="F330" s="118" t="s">
        <v>44</v>
      </c>
      <c r="G330" s="118" t="s">
        <v>644</v>
      </c>
      <c r="H330" s="118" t="s">
        <v>1641</v>
      </c>
      <c r="I330" s="118" t="s">
        <v>305</v>
      </c>
      <c r="J330" s="118" t="s">
        <v>1642</v>
      </c>
      <c r="K330" s="118">
        <v>2021</v>
      </c>
      <c r="L330" s="118" t="s">
        <v>1637</v>
      </c>
      <c r="M330" s="118" t="s">
        <v>25</v>
      </c>
      <c r="N330" s="118"/>
      <c r="O330" s="160" t="s">
        <v>1638</v>
      </c>
      <c r="P330" s="168"/>
    </row>
    <row r="331" spans="1:16" s="1" customFormat="1" ht="72" x14ac:dyDescent="0.3">
      <c r="A331" s="156">
        <v>329</v>
      </c>
      <c r="B331" s="152" t="s">
        <v>1643</v>
      </c>
      <c r="C331" s="121" t="s">
        <v>1644</v>
      </c>
      <c r="D331" s="151" t="s">
        <v>202</v>
      </c>
      <c r="E331" s="132" t="s">
        <v>1643</v>
      </c>
      <c r="F331" s="118" t="s">
        <v>44</v>
      </c>
      <c r="G331" s="118" t="s">
        <v>469</v>
      </c>
      <c r="H331" s="118" t="s">
        <v>1645</v>
      </c>
      <c r="I331" s="118" t="s">
        <v>1144</v>
      </c>
      <c r="J331" s="118" t="s">
        <v>1636</v>
      </c>
      <c r="K331" s="118">
        <v>2021</v>
      </c>
      <c r="L331" s="118" t="s">
        <v>396</v>
      </c>
      <c r="M331" s="118" t="s">
        <v>39</v>
      </c>
      <c r="N331" s="157" t="s">
        <v>1646</v>
      </c>
      <c r="O331" s="160" t="s">
        <v>1647</v>
      </c>
      <c r="P331" s="168"/>
    </row>
    <row r="332" spans="1:16" s="1" customFormat="1" ht="41.4" x14ac:dyDescent="0.3">
      <c r="A332" s="141">
        <v>330</v>
      </c>
      <c r="B332" s="152" t="s">
        <v>1648</v>
      </c>
      <c r="C332" s="121" t="s">
        <v>1649</v>
      </c>
      <c r="D332" s="151" t="s">
        <v>99</v>
      </c>
      <c r="E332" s="132" t="s">
        <v>1648</v>
      </c>
      <c r="F332" s="118" t="s">
        <v>44</v>
      </c>
      <c r="G332" s="118" t="s">
        <v>644</v>
      </c>
      <c r="H332" s="118" t="s">
        <v>1650</v>
      </c>
      <c r="I332" s="118" t="s">
        <v>305</v>
      </c>
      <c r="J332" s="118" t="s">
        <v>1651</v>
      </c>
      <c r="K332" s="118">
        <v>2021</v>
      </c>
      <c r="L332" s="118" t="s">
        <v>1637</v>
      </c>
      <c r="M332" s="118" t="s">
        <v>25</v>
      </c>
      <c r="N332" s="118"/>
      <c r="O332" s="158" t="s">
        <v>1652</v>
      </c>
      <c r="P332" s="168" t="s">
        <v>2472</v>
      </c>
    </row>
    <row r="333" spans="1:16" s="1" customFormat="1" ht="49.95" customHeight="1" x14ac:dyDescent="0.3">
      <c r="A333" s="141">
        <v>331</v>
      </c>
      <c r="B333" s="152" t="s">
        <v>1653</v>
      </c>
      <c r="C333" s="121" t="s">
        <v>1654</v>
      </c>
      <c r="D333" s="151" t="s">
        <v>99</v>
      </c>
      <c r="E333" s="132" t="s">
        <v>1653</v>
      </c>
      <c r="F333" s="118" t="s">
        <v>20</v>
      </c>
      <c r="G333" s="118" t="s">
        <v>21</v>
      </c>
      <c r="H333" s="118" t="s">
        <v>37</v>
      </c>
      <c r="I333" s="118" t="s">
        <v>707</v>
      </c>
      <c r="J333" s="118" t="s">
        <v>1655</v>
      </c>
      <c r="K333" s="118">
        <v>2021</v>
      </c>
      <c r="L333" s="118" t="s">
        <v>116</v>
      </c>
      <c r="M333" s="118" t="s">
        <v>25</v>
      </c>
      <c r="N333" s="118"/>
      <c r="O333" s="160" t="s">
        <v>1656</v>
      </c>
      <c r="P333" s="168"/>
    </row>
    <row r="334" spans="1:16" s="1" customFormat="1" ht="50.4" customHeight="1" x14ac:dyDescent="0.3">
      <c r="A334" s="141">
        <v>332</v>
      </c>
      <c r="B334" s="152" t="s">
        <v>1657</v>
      </c>
      <c r="C334" s="121" t="s">
        <v>1654</v>
      </c>
      <c r="D334" s="151" t="s">
        <v>99</v>
      </c>
      <c r="E334" s="132" t="s">
        <v>1657</v>
      </c>
      <c r="F334" s="118" t="s">
        <v>44</v>
      </c>
      <c r="G334" s="118" t="s">
        <v>21</v>
      </c>
      <c r="H334" s="118" t="s">
        <v>1658</v>
      </c>
      <c r="I334" s="118" t="s">
        <v>707</v>
      </c>
      <c r="J334" s="118" t="s">
        <v>1655</v>
      </c>
      <c r="K334" s="118">
        <v>2021</v>
      </c>
      <c r="L334" s="118" t="s">
        <v>116</v>
      </c>
      <c r="M334" s="118" t="s">
        <v>25</v>
      </c>
      <c r="N334" s="118"/>
      <c r="O334" s="160" t="s">
        <v>1656</v>
      </c>
      <c r="P334" s="168"/>
    </row>
    <row r="335" spans="1:16" s="1" customFormat="1" ht="61.2" customHeight="1" x14ac:dyDescent="0.3">
      <c r="A335" s="141">
        <v>333</v>
      </c>
      <c r="B335" s="152" t="s">
        <v>1659</v>
      </c>
      <c r="C335" s="121" t="s">
        <v>1660</v>
      </c>
      <c r="D335" s="151" t="s">
        <v>43</v>
      </c>
      <c r="E335" s="132" t="s">
        <v>1659</v>
      </c>
      <c r="F335" s="118" t="s">
        <v>20</v>
      </c>
      <c r="G335" s="118" t="s">
        <v>21</v>
      </c>
      <c r="H335" s="118" t="s">
        <v>37</v>
      </c>
      <c r="I335" s="118" t="s">
        <v>23</v>
      </c>
      <c r="J335" s="118" t="s">
        <v>1661</v>
      </c>
      <c r="K335" s="118">
        <v>2021</v>
      </c>
      <c r="L335" s="118" t="s">
        <v>54</v>
      </c>
      <c r="M335" s="118" t="s">
        <v>25</v>
      </c>
      <c r="N335" s="118"/>
      <c r="O335" s="158" t="s">
        <v>1662</v>
      </c>
      <c r="P335" s="168" t="s">
        <v>1663</v>
      </c>
    </row>
    <row r="336" spans="1:16" s="1" customFormat="1" ht="87.6" customHeight="1" x14ac:dyDescent="0.3">
      <c r="A336" s="141">
        <v>334</v>
      </c>
      <c r="B336" s="152" t="s">
        <v>1664</v>
      </c>
      <c r="C336" s="121" t="s">
        <v>98</v>
      </c>
      <c r="D336" s="151" t="s">
        <v>99</v>
      </c>
      <c r="E336" s="132" t="s">
        <v>1664</v>
      </c>
      <c r="F336" s="118" t="s">
        <v>20</v>
      </c>
      <c r="G336" s="118" t="s">
        <v>21</v>
      </c>
      <c r="H336" s="118" t="s">
        <v>37</v>
      </c>
      <c r="I336" s="118" t="s">
        <v>1665</v>
      </c>
      <c r="J336" s="118" t="s">
        <v>1666</v>
      </c>
      <c r="K336" s="118">
        <v>2021</v>
      </c>
      <c r="L336" s="118" t="s">
        <v>159</v>
      </c>
      <c r="M336" s="118" t="s">
        <v>25</v>
      </c>
      <c r="N336" s="118"/>
      <c r="O336" s="158" t="s">
        <v>1667</v>
      </c>
      <c r="P336" s="168" t="s">
        <v>1668</v>
      </c>
    </row>
    <row r="337" spans="1:16" s="1" customFormat="1" ht="174.6" customHeight="1" x14ac:dyDescent="0.3">
      <c r="A337" s="141">
        <v>335</v>
      </c>
      <c r="B337" s="152" t="s">
        <v>1669</v>
      </c>
      <c r="C337" s="121" t="s">
        <v>1670</v>
      </c>
      <c r="D337" s="151" t="s">
        <v>1671</v>
      </c>
      <c r="E337" s="132" t="s">
        <v>1669</v>
      </c>
      <c r="F337" s="118" t="s">
        <v>20</v>
      </c>
      <c r="G337" s="118" t="s">
        <v>171</v>
      </c>
      <c r="H337" s="118" t="s">
        <v>1672</v>
      </c>
      <c r="I337" s="118" t="s">
        <v>226</v>
      </c>
      <c r="J337" s="118" t="s">
        <v>1673</v>
      </c>
      <c r="K337" s="118">
        <v>2021</v>
      </c>
      <c r="L337" s="118" t="s">
        <v>38</v>
      </c>
      <c r="M337" s="118" t="s">
        <v>25</v>
      </c>
      <c r="N337" s="118"/>
      <c r="O337" s="158" t="s">
        <v>1674</v>
      </c>
      <c r="P337" s="168" t="s">
        <v>1675</v>
      </c>
    </row>
    <row r="338" spans="1:16" s="1" customFormat="1" ht="53.4" customHeight="1" x14ac:dyDescent="0.3">
      <c r="A338" s="141">
        <v>336</v>
      </c>
      <c r="B338" s="152" t="s">
        <v>1676</v>
      </c>
      <c r="C338" s="121" t="s">
        <v>780</v>
      </c>
      <c r="D338" s="151" t="s">
        <v>86</v>
      </c>
      <c r="E338" s="132" t="s">
        <v>1676</v>
      </c>
      <c r="F338" s="118" t="s">
        <v>20</v>
      </c>
      <c r="G338" s="118" t="s">
        <v>171</v>
      </c>
      <c r="H338" s="118" t="s">
        <v>37</v>
      </c>
      <c r="I338" s="118" t="s">
        <v>707</v>
      </c>
      <c r="J338" s="118" t="s">
        <v>1677</v>
      </c>
      <c r="K338" s="118">
        <v>2021</v>
      </c>
      <c r="L338" s="118" t="s">
        <v>54</v>
      </c>
      <c r="M338" s="118" t="s">
        <v>25</v>
      </c>
      <c r="N338" s="118"/>
      <c r="O338" s="160" t="s">
        <v>1678</v>
      </c>
      <c r="P338" s="168"/>
    </row>
    <row r="339" spans="1:16" s="1" customFormat="1" ht="82.8" x14ac:dyDescent="0.3">
      <c r="A339" s="141">
        <v>337</v>
      </c>
      <c r="B339" s="152" t="s">
        <v>1679</v>
      </c>
      <c r="C339" s="121" t="s">
        <v>1680</v>
      </c>
      <c r="D339" s="151" t="s">
        <v>73</v>
      </c>
      <c r="E339" s="132" t="s">
        <v>1679</v>
      </c>
      <c r="F339" s="118" t="s">
        <v>20</v>
      </c>
      <c r="G339" s="118" t="s">
        <v>21</v>
      </c>
      <c r="H339" s="118" t="s">
        <v>37</v>
      </c>
      <c r="I339" s="118" t="s">
        <v>23</v>
      </c>
      <c r="J339" s="118" t="s">
        <v>1681</v>
      </c>
      <c r="K339" s="118">
        <v>2021</v>
      </c>
      <c r="L339" s="118" t="s">
        <v>54</v>
      </c>
      <c r="M339" s="118" t="s">
        <v>25</v>
      </c>
      <c r="N339" s="118"/>
      <c r="O339" s="160" t="s">
        <v>1682</v>
      </c>
      <c r="P339" s="168"/>
    </row>
    <row r="340" spans="1:16" s="1" customFormat="1" ht="49.95" customHeight="1" x14ac:dyDescent="0.3">
      <c r="A340" s="141">
        <v>338</v>
      </c>
      <c r="B340" s="152" t="s">
        <v>1683</v>
      </c>
      <c r="C340" s="121" t="s">
        <v>210</v>
      </c>
      <c r="D340" s="151" t="s">
        <v>43</v>
      </c>
      <c r="E340" s="132" t="s">
        <v>1683</v>
      </c>
      <c r="F340" s="118" t="s">
        <v>44</v>
      </c>
      <c r="G340" s="118" t="s">
        <v>21</v>
      </c>
      <c r="H340" s="118" t="s">
        <v>1684</v>
      </c>
      <c r="I340" s="118" t="s">
        <v>471</v>
      </c>
      <c r="J340" s="118" t="s">
        <v>1685</v>
      </c>
      <c r="K340" s="118">
        <v>2021</v>
      </c>
      <c r="L340" s="118" t="s">
        <v>1686</v>
      </c>
      <c r="M340" s="118" t="s">
        <v>39</v>
      </c>
      <c r="N340" s="118"/>
      <c r="O340" s="158" t="s">
        <v>1687</v>
      </c>
      <c r="P340" s="168" t="s">
        <v>1688</v>
      </c>
    </row>
    <row r="341" spans="1:16" s="1" customFormat="1" ht="49.95" customHeight="1" x14ac:dyDescent="0.3">
      <c r="A341" s="141">
        <v>339</v>
      </c>
      <c r="B341" s="152" t="s">
        <v>1689</v>
      </c>
      <c r="C341" s="121" t="s">
        <v>1002</v>
      </c>
      <c r="D341" s="151" t="s">
        <v>99</v>
      </c>
      <c r="E341" s="132" t="s">
        <v>1689</v>
      </c>
      <c r="F341" s="118" t="s">
        <v>325</v>
      </c>
      <c r="G341" s="118" t="s">
        <v>21</v>
      </c>
      <c r="H341" s="118" t="s">
        <v>37</v>
      </c>
      <c r="I341" s="118" t="s">
        <v>305</v>
      </c>
      <c r="J341" s="118" t="s">
        <v>1690</v>
      </c>
      <c r="K341" s="118">
        <v>2021</v>
      </c>
      <c r="L341" s="118" t="s">
        <v>159</v>
      </c>
      <c r="M341" s="118" t="s">
        <v>25</v>
      </c>
      <c r="N341" s="118"/>
      <c r="O341" s="158" t="s">
        <v>1322</v>
      </c>
      <c r="P341" s="168"/>
    </row>
    <row r="342" spans="1:16" s="1" customFormat="1" ht="49.95" customHeight="1" x14ac:dyDescent="0.3">
      <c r="A342" s="141">
        <v>340</v>
      </c>
      <c r="B342" s="152" t="s">
        <v>1691</v>
      </c>
      <c r="C342" s="121" t="s">
        <v>1692</v>
      </c>
      <c r="D342" s="151" t="s">
        <v>99</v>
      </c>
      <c r="E342" s="132" t="s">
        <v>1691</v>
      </c>
      <c r="F342" s="118" t="s">
        <v>44</v>
      </c>
      <c r="G342" s="118" t="s">
        <v>644</v>
      </c>
      <c r="H342" s="118" t="s">
        <v>1693</v>
      </c>
      <c r="I342" s="118" t="s">
        <v>305</v>
      </c>
      <c r="J342" s="118" t="s">
        <v>1694</v>
      </c>
      <c r="K342" s="118">
        <v>2021</v>
      </c>
      <c r="L342" s="118" t="s">
        <v>1695</v>
      </c>
      <c r="M342" s="118" t="s">
        <v>25</v>
      </c>
      <c r="N342" s="118"/>
      <c r="O342" s="158" t="s">
        <v>1696</v>
      </c>
      <c r="P342" s="168" t="s">
        <v>2475</v>
      </c>
    </row>
    <row r="343" spans="1:16" s="1" customFormat="1" ht="75" customHeight="1" x14ac:dyDescent="0.3">
      <c r="A343" s="141">
        <v>341</v>
      </c>
      <c r="B343" s="152" t="s">
        <v>1697</v>
      </c>
      <c r="C343" s="121" t="s">
        <v>1698</v>
      </c>
      <c r="D343" s="151" t="s">
        <v>99</v>
      </c>
      <c r="E343" s="132" t="s">
        <v>1697</v>
      </c>
      <c r="F343" s="118" t="s">
        <v>20</v>
      </c>
      <c r="G343" s="118" t="s">
        <v>21</v>
      </c>
      <c r="H343" s="118" t="s">
        <v>37</v>
      </c>
      <c r="I343" s="118" t="s">
        <v>305</v>
      </c>
      <c r="J343" s="118" t="s">
        <v>1699</v>
      </c>
      <c r="K343" s="118">
        <v>2021</v>
      </c>
      <c r="L343" s="118" t="s">
        <v>159</v>
      </c>
      <c r="M343" s="118" t="s">
        <v>25</v>
      </c>
      <c r="N343" s="118"/>
      <c r="O343" s="160" t="s">
        <v>1700</v>
      </c>
      <c r="P343" s="168"/>
    </row>
    <row r="344" spans="1:16" s="1" customFormat="1" ht="49.95" customHeight="1" x14ac:dyDescent="0.3">
      <c r="A344" s="141">
        <v>342</v>
      </c>
      <c r="B344" s="152" t="s">
        <v>1701</v>
      </c>
      <c r="C344" s="121" t="s">
        <v>1702</v>
      </c>
      <c r="D344" s="151" t="s">
        <v>202</v>
      </c>
      <c r="E344" s="132" t="s">
        <v>1701</v>
      </c>
      <c r="F344" s="118" t="s">
        <v>20</v>
      </c>
      <c r="G344" s="118" t="s">
        <v>65</v>
      </c>
      <c r="H344" s="118" t="s">
        <v>37</v>
      </c>
      <c r="I344" s="118" t="s">
        <v>67</v>
      </c>
      <c r="J344" s="118" t="s">
        <v>1703</v>
      </c>
      <c r="K344" s="118">
        <v>2021</v>
      </c>
      <c r="L344" s="118" t="s">
        <v>24</v>
      </c>
      <c r="M344" s="118" t="s">
        <v>25</v>
      </c>
      <c r="N344" s="118"/>
      <c r="O344" s="158" t="s">
        <v>23</v>
      </c>
      <c r="P344" s="168"/>
    </row>
    <row r="345" spans="1:16" s="1" customFormat="1" ht="49.95" customHeight="1" x14ac:dyDescent="0.3">
      <c r="A345" s="141">
        <v>343</v>
      </c>
      <c r="B345" s="152" t="s">
        <v>1704</v>
      </c>
      <c r="C345" s="121" t="s">
        <v>1705</v>
      </c>
      <c r="D345" s="151" t="s">
        <v>1042</v>
      </c>
      <c r="E345" s="132" t="s">
        <v>1704</v>
      </c>
      <c r="F345" s="118" t="s">
        <v>44</v>
      </c>
      <c r="G345" s="118" t="s">
        <v>644</v>
      </c>
      <c r="H345" s="118" t="s">
        <v>1706</v>
      </c>
      <c r="I345" s="118" t="s">
        <v>305</v>
      </c>
      <c r="J345" s="118" t="s">
        <v>1707</v>
      </c>
      <c r="K345" s="118">
        <v>2021</v>
      </c>
      <c r="L345" s="118" t="s">
        <v>1695</v>
      </c>
      <c r="M345" s="118" t="s">
        <v>25</v>
      </c>
      <c r="N345" s="118"/>
      <c r="O345" s="158" t="s">
        <v>1708</v>
      </c>
      <c r="P345" s="168" t="s">
        <v>2473</v>
      </c>
    </row>
    <row r="346" spans="1:16" s="1" customFormat="1" ht="49.95" customHeight="1" x14ac:dyDescent="0.3">
      <c r="A346" s="141">
        <v>344</v>
      </c>
      <c r="B346" s="152" t="s">
        <v>1709</v>
      </c>
      <c r="C346" s="121" t="s">
        <v>1710</v>
      </c>
      <c r="D346" s="151" t="s">
        <v>1042</v>
      </c>
      <c r="E346" s="132" t="s">
        <v>1709</v>
      </c>
      <c r="F346" s="118" t="s">
        <v>44</v>
      </c>
      <c r="G346" s="118" t="s">
        <v>644</v>
      </c>
      <c r="H346" s="118" t="s">
        <v>1711</v>
      </c>
      <c r="I346" s="118" t="s">
        <v>305</v>
      </c>
      <c r="J346" s="118" t="s">
        <v>1712</v>
      </c>
      <c r="K346" s="118">
        <v>2021</v>
      </c>
      <c r="L346" s="118" t="s">
        <v>1637</v>
      </c>
      <c r="M346" s="118" t="s">
        <v>25</v>
      </c>
      <c r="N346" s="118"/>
      <c r="O346" s="158" t="s">
        <v>1713</v>
      </c>
      <c r="P346" s="168" t="s">
        <v>2474</v>
      </c>
    </row>
    <row r="347" spans="1:16" s="1" customFormat="1" ht="49.95" customHeight="1" x14ac:dyDescent="0.3">
      <c r="A347" s="141">
        <v>345</v>
      </c>
      <c r="B347" s="152" t="s">
        <v>1714</v>
      </c>
      <c r="C347" s="121" t="s">
        <v>341</v>
      </c>
      <c r="D347" s="151" t="s">
        <v>99</v>
      </c>
      <c r="E347" s="132" t="s">
        <v>1714</v>
      </c>
      <c r="F347" s="118" t="s">
        <v>20</v>
      </c>
      <c r="G347" s="118" t="s">
        <v>21</v>
      </c>
      <c r="H347" s="118" t="s">
        <v>37</v>
      </c>
      <c r="I347" s="118" t="s">
        <v>305</v>
      </c>
      <c r="J347" s="118" t="s">
        <v>1715</v>
      </c>
      <c r="K347" s="118">
        <v>2021</v>
      </c>
      <c r="L347" s="147" t="s">
        <v>159</v>
      </c>
      <c r="M347" s="118" t="s">
        <v>25</v>
      </c>
      <c r="N347" s="118"/>
      <c r="O347" s="158" t="s">
        <v>23</v>
      </c>
      <c r="P347" s="168"/>
    </row>
    <row r="348" spans="1:16" s="1" customFormat="1" ht="49.95" customHeight="1" x14ac:dyDescent="0.3">
      <c r="A348" s="141">
        <v>346</v>
      </c>
      <c r="B348" s="152" t="s">
        <v>1716</v>
      </c>
      <c r="C348" s="121" t="s">
        <v>1717</v>
      </c>
      <c r="D348" s="151" t="s">
        <v>43</v>
      </c>
      <c r="E348" s="132" t="s">
        <v>1716</v>
      </c>
      <c r="F348" s="118" t="s">
        <v>20</v>
      </c>
      <c r="G348" s="118" t="s">
        <v>21</v>
      </c>
      <c r="H348" s="118" t="s">
        <v>1526</v>
      </c>
      <c r="I348" s="118" t="s">
        <v>305</v>
      </c>
      <c r="J348" s="118" t="s">
        <v>1718</v>
      </c>
      <c r="K348" s="118">
        <v>2021</v>
      </c>
      <c r="L348" s="147" t="s">
        <v>54</v>
      </c>
      <c r="M348" s="118" t="s">
        <v>25</v>
      </c>
      <c r="N348" s="118"/>
      <c r="O348" s="158" t="s">
        <v>1620</v>
      </c>
      <c r="P348" s="168"/>
    </row>
    <row r="349" spans="1:16" s="1" customFormat="1" ht="49.95" customHeight="1" x14ac:dyDescent="0.3">
      <c r="A349" s="141">
        <v>347</v>
      </c>
      <c r="B349" s="152" t="s">
        <v>1719</v>
      </c>
      <c r="C349" s="121" t="s">
        <v>1720</v>
      </c>
      <c r="D349" s="151" t="s">
        <v>43</v>
      </c>
      <c r="E349" s="132" t="s">
        <v>1719</v>
      </c>
      <c r="F349" s="118" t="s">
        <v>20</v>
      </c>
      <c r="G349" s="118" t="s">
        <v>21</v>
      </c>
      <c r="H349" s="118" t="s">
        <v>37</v>
      </c>
      <c r="I349" s="118" t="s">
        <v>1519</v>
      </c>
      <c r="J349" s="118" t="s">
        <v>1721</v>
      </c>
      <c r="K349" s="118">
        <v>2021</v>
      </c>
      <c r="L349" s="118" t="s">
        <v>54</v>
      </c>
      <c r="M349" s="118" t="s">
        <v>25</v>
      </c>
      <c r="N349" s="118"/>
      <c r="O349" s="160" t="s">
        <v>1722</v>
      </c>
      <c r="P349" s="168" t="s">
        <v>1723</v>
      </c>
    </row>
    <row r="350" spans="1:16" s="1" customFormat="1" ht="49.95" customHeight="1" x14ac:dyDescent="0.3">
      <c r="A350" s="141">
        <v>348</v>
      </c>
      <c r="B350" s="152" t="s">
        <v>1724</v>
      </c>
      <c r="C350" s="121" t="s">
        <v>1725</v>
      </c>
      <c r="D350" s="151" t="s">
        <v>65</v>
      </c>
      <c r="E350" s="132" t="s">
        <v>1724</v>
      </c>
      <c r="F350" s="118" t="s">
        <v>20</v>
      </c>
      <c r="G350" s="118" t="s">
        <v>65</v>
      </c>
      <c r="H350" s="118" t="s">
        <v>37</v>
      </c>
      <c r="I350" s="118" t="s">
        <v>23</v>
      </c>
      <c r="J350" s="118" t="s">
        <v>1726</v>
      </c>
      <c r="K350" s="118">
        <v>2021</v>
      </c>
      <c r="L350" s="147" t="s">
        <v>167</v>
      </c>
      <c r="M350" s="118" t="s">
        <v>39</v>
      </c>
      <c r="N350" s="118"/>
      <c r="O350" s="160" t="s">
        <v>1727</v>
      </c>
      <c r="P350" s="168"/>
    </row>
    <row r="351" spans="1:16" s="1" customFormat="1" ht="73.95" customHeight="1" x14ac:dyDescent="0.3">
      <c r="A351" s="141">
        <v>349</v>
      </c>
      <c r="B351" s="152" t="s">
        <v>1728</v>
      </c>
      <c r="C351" s="150" t="s">
        <v>1729</v>
      </c>
      <c r="D351" s="151" t="s">
        <v>43</v>
      </c>
      <c r="E351" s="132" t="s">
        <v>1728</v>
      </c>
      <c r="F351" s="118" t="s">
        <v>20</v>
      </c>
      <c r="G351" s="118" t="s">
        <v>21</v>
      </c>
      <c r="H351" s="118" t="s">
        <v>37</v>
      </c>
      <c r="I351" s="138" t="s">
        <v>1519</v>
      </c>
      <c r="J351" s="138" t="s">
        <v>1730</v>
      </c>
      <c r="K351" s="118">
        <v>2021</v>
      </c>
      <c r="L351" s="138" t="s">
        <v>54</v>
      </c>
      <c r="M351" s="118" t="s">
        <v>25</v>
      </c>
      <c r="N351" s="118"/>
      <c r="O351" s="160" t="s">
        <v>1731</v>
      </c>
      <c r="P351" s="168"/>
    </row>
    <row r="352" spans="1:16" s="1" customFormat="1" ht="73.95" customHeight="1" x14ac:dyDescent="0.3">
      <c r="A352" s="135">
        <v>350</v>
      </c>
      <c r="B352" s="152" t="s">
        <v>1732</v>
      </c>
      <c r="C352" s="150" t="s">
        <v>1733</v>
      </c>
      <c r="D352" s="151" t="s">
        <v>447</v>
      </c>
      <c r="E352" s="132" t="s">
        <v>1732</v>
      </c>
      <c r="F352" s="118" t="s">
        <v>20</v>
      </c>
      <c r="G352" s="118" t="s">
        <v>21</v>
      </c>
      <c r="H352" s="118" t="s">
        <v>37</v>
      </c>
      <c r="I352" s="118" t="s">
        <v>471</v>
      </c>
      <c r="J352" s="138" t="s">
        <v>1734</v>
      </c>
      <c r="K352" s="118">
        <v>2021</v>
      </c>
      <c r="L352" s="118" t="s">
        <v>24</v>
      </c>
      <c r="M352" s="118" t="s">
        <v>25</v>
      </c>
      <c r="N352" s="153" t="s">
        <v>1735</v>
      </c>
      <c r="O352" s="160" t="s">
        <v>1736</v>
      </c>
      <c r="P352" s="168"/>
    </row>
    <row r="353" spans="1:16" s="1" customFormat="1" ht="73.95" customHeight="1" x14ac:dyDescent="0.3">
      <c r="A353" s="141">
        <v>351</v>
      </c>
      <c r="B353" s="152" t="s">
        <v>1737</v>
      </c>
      <c r="C353" s="150" t="s">
        <v>833</v>
      </c>
      <c r="D353" s="151" t="s">
        <v>408</v>
      </c>
      <c r="E353" s="132" t="s">
        <v>1737</v>
      </c>
      <c r="F353" s="118" t="s">
        <v>20</v>
      </c>
      <c r="G353" s="118" t="s">
        <v>21</v>
      </c>
      <c r="H353" s="118" t="s">
        <v>37</v>
      </c>
      <c r="I353" s="138" t="s">
        <v>305</v>
      </c>
      <c r="J353" s="138" t="s">
        <v>1738</v>
      </c>
      <c r="K353" s="118">
        <v>2021</v>
      </c>
      <c r="L353" s="118" t="s">
        <v>69</v>
      </c>
      <c r="M353" s="118" t="s">
        <v>25</v>
      </c>
      <c r="N353" s="118"/>
      <c r="O353" s="158" t="s">
        <v>1739</v>
      </c>
      <c r="P353" s="168"/>
    </row>
    <row r="354" spans="1:16" s="1" customFormat="1" ht="73.95" customHeight="1" x14ac:dyDescent="0.3">
      <c r="A354" s="154">
        <v>352</v>
      </c>
      <c r="B354" s="152" t="s">
        <v>1740</v>
      </c>
      <c r="C354" s="150" t="s">
        <v>1741</v>
      </c>
      <c r="D354" s="151" t="s">
        <v>1122</v>
      </c>
      <c r="E354" s="132" t="s">
        <v>1740</v>
      </c>
      <c r="F354" s="118" t="s">
        <v>325</v>
      </c>
      <c r="G354" s="118" t="s">
        <v>469</v>
      </c>
      <c r="H354" s="118" t="s">
        <v>1742</v>
      </c>
      <c r="I354" s="138" t="s">
        <v>1743</v>
      </c>
      <c r="J354" s="138" t="s">
        <v>1744</v>
      </c>
      <c r="K354" s="118">
        <v>2021</v>
      </c>
      <c r="L354" s="118" t="s">
        <v>1745</v>
      </c>
      <c r="M354" s="118" t="s">
        <v>39</v>
      </c>
      <c r="N354" s="155" t="s">
        <v>1746</v>
      </c>
      <c r="O354" s="158" t="s">
        <v>1747</v>
      </c>
      <c r="P354" s="168"/>
    </row>
    <row r="355" spans="1:16" s="1" customFormat="1" ht="73.95" customHeight="1" x14ac:dyDescent="0.3">
      <c r="A355" s="141">
        <v>353</v>
      </c>
      <c r="B355" s="152" t="s">
        <v>1748</v>
      </c>
      <c r="C355" s="150" t="s">
        <v>1749</v>
      </c>
      <c r="D355" s="151" t="s">
        <v>73</v>
      </c>
      <c r="E355" s="132" t="s">
        <v>1748</v>
      </c>
      <c r="F355" s="118" t="s">
        <v>20</v>
      </c>
      <c r="G355" s="118" t="s">
        <v>21</v>
      </c>
      <c r="H355" s="118" t="s">
        <v>37</v>
      </c>
      <c r="I355" s="138" t="s">
        <v>305</v>
      </c>
      <c r="J355" s="138" t="s">
        <v>1750</v>
      </c>
      <c r="K355" s="118">
        <v>2021</v>
      </c>
      <c r="L355" s="138" t="s">
        <v>159</v>
      </c>
      <c r="M355" s="138" t="s">
        <v>25</v>
      </c>
      <c r="N355" s="118"/>
      <c r="O355" s="160" t="s">
        <v>1751</v>
      </c>
      <c r="P355" s="168"/>
    </row>
    <row r="356" spans="1:16" s="1" customFormat="1" ht="49.95" customHeight="1" x14ac:dyDescent="0.3">
      <c r="A356" s="141">
        <v>354</v>
      </c>
      <c r="B356" s="152" t="s">
        <v>1752</v>
      </c>
      <c r="C356" s="149" t="s">
        <v>1753</v>
      </c>
      <c r="D356" s="151" t="s">
        <v>99</v>
      </c>
      <c r="E356" s="132" t="s">
        <v>1752</v>
      </c>
      <c r="F356" s="118" t="s">
        <v>44</v>
      </c>
      <c r="G356" s="118" t="s">
        <v>644</v>
      </c>
      <c r="H356" s="138" t="s">
        <v>1754</v>
      </c>
      <c r="I356" s="118" t="s">
        <v>305</v>
      </c>
      <c r="J356" s="118">
        <v>2021</v>
      </c>
      <c r="K356" s="118">
        <v>2021</v>
      </c>
      <c r="L356" s="118" t="s">
        <v>1695</v>
      </c>
      <c r="M356" s="118" t="s">
        <v>25</v>
      </c>
      <c r="N356" s="118"/>
      <c r="O356" s="160" t="s">
        <v>1755</v>
      </c>
      <c r="P356" s="168"/>
    </row>
    <row r="357" spans="1:16" s="1" customFormat="1" ht="73.95" customHeight="1" x14ac:dyDescent="0.3">
      <c r="A357" s="141">
        <v>355</v>
      </c>
      <c r="B357" s="152" t="s">
        <v>1756</v>
      </c>
      <c r="C357" s="150" t="s">
        <v>1757</v>
      </c>
      <c r="D357" s="151" t="s">
        <v>202</v>
      </c>
      <c r="E357" s="132" t="s">
        <v>1756</v>
      </c>
      <c r="F357" s="118" t="s">
        <v>44</v>
      </c>
      <c r="G357" s="118" t="s">
        <v>469</v>
      </c>
      <c r="H357" s="138" t="s">
        <v>1758</v>
      </c>
      <c r="I357" s="138" t="s">
        <v>305</v>
      </c>
      <c r="J357" s="138" t="s">
        <v>1759</v>
      </c>
      <c r="K357" s="118">
        <v>2021</v>
      </c>
      <c r="L357" s="138" t="s">
        <v>1760</v>
      </c>
      <c r="M357" s="138" t="s">
        <v>39</v>
      </c>
      <c r="N357" s="118"/>
      <c r="O357" s="158" t="s">
        <v>23</v>
      </c>
      <c r="P357" s="168"/>
    </row>
    <row r="358" spans="1:16" s="1" customFormat="1" ht="73.95" customHeight="1" x14ac:dyDescent="0.3">
      <c r="A358" s="141">
        <v>356</v>
      </c>
      <c r="B358" s="152" t="s">
        <v>1761</v>
      </c>
      <c r="C358" s="150" t="s">
        <v>1171</v>
      </c>
      <c r="D358" s="151" t="s">
        <v>99</v>
      </c>
      <c r="E358" s="132" t="s">
        <v>1761</v>
      </c>
      <c r="F358" s="118" t="s">
        <v>44</v>
      </c>
      <c r="G358" s="147" t="s">
        <v>21</v>
      </c>
      <c r="H358" s="138" t="s">
        <v>1762</v>
      </c>
      <c r="I358" s="138" t="s">
        <v>1763</v>
      </c>
      <c r="J358" s="138" t="s">
        <v>1764</v>
      </c>
      <c r="K358" s="118">
        <v>2021</v>
      </c>
      <c r="L358" s="138" t="s">
        <v>159</v>
      </c>
      <c r="M358" s="138" t="s">
        <v>25</v>
      </c>
      <c r="N358" s="118"/>
      <c r="O358" s="158" t="s">
        <v>23</v>
      </c>
      <c r="P358" s="168"/>
    </row>
    <row r="359" spans="1:16" s="1" customFormat="1" ht="36" x14ac:dyDescent="0.3">
      <c r="A359" s="141">
        <v>357</v>
      </c>
      <c r="B359" s="152" t="s">
        <v>1765</v>
      </c>
      <c r="C359" s="121" t="s">
        <v>1766</v>
      </c>
      <c r="D359" s="151" t="s">
        <v>65</v>
      </c>
      <c r="E359" s="132" t="s">
        <v>1765</v>
      </c>
      <c r="F359" s="118" t="s">
        <v>30</v>
      </c>
      <c r="G359" s="118" t="s">
        <v>65</v>
      </c>
      <c r="H359" s="118" t="s">
        <v>37</v>
      </c>
      <c r="I359" s="118" t="s">
        <v>305</v>
      </c>
      <c r="J359" s="118" t="s">
        <v>1767</v>
      </c>
      <c r="K359" s="118">
        <v>2022</v>
      </c>
      <c r="L359" s="118" t="s">
        <v>24</v>
      </c>
      <c r="M359" s="118" t="s">
        <v>25</v>
      </c>
      <c r="N359" s="118"/>
      <c r="O359" s="158" t="s">
        <v>23</v>
      </c>
      <c r="P359" s="168"/>
    </row>
    <row r="360" spans="1:16" s="1" customFormat="1" ht="41.4" x14ac:dyDescent="0.3">
      <c r="A360" s="141">
        <v>358</v>
      </c>
      <c r="B360" s="152" t="s">
        <v>1768</v>
      </c>
      <c r="C360" s="146" t="s">
        <v>1769</v>
      </c>
      <c r="D360" s="151" t="s">
        <v>1770</v>
      </c>
      <c r="E360" s="132" t="s">
        <v>1768</v>
      </c>
      <c r="F360" s="147" t="s">
        <v>20</v>
      </c>
      <c r="G360" s="147" t="s">
        <v>21</v>
      </c>
      <c r="H360" s="147" t="s">
        <v>37</v>
      </c>
      <c r="I360" s="147" t="s">
        <v>23</v>
      </c>
      <c r="J360" s="147" t="s">
        <v>1771</v>
      </c>
      <c r="K360" s="147">
        <v>2022</v>
      </c>
      <c r="L360" s="147" t="s">
        <v>159</v>
      </c>
      <c r="M360" s="147" t="s">
        <v>25</v>
      </c>
      <c r="N360" s="147"/>
      <c r="O360" s="162" t="s">
        <v>1772</v>
      </c>
      <c r="P360" s="168"/>
    </row>
    <row r="361" spans="1:16" s="1" customFormat="1" ht="64.95" customHeight="1" x14ac:dyDescent="0.3">
      <c r="A361" s="141">
        <v>359</v>
      </c>
      <c r="B361" s="152" t="s">
        <v>1773</v>
      </c>
      <c r="C361" s="146" t="s">
        <v>1774</v>
      </c>
      <c r="D361" s="151" t="s">
        <v>35</v>
      </c>
      <c r="E361" s="132" t="s">
        <v>1773</v>
      </c>
      <c r="F361" s="147" t="s">
        <v>325</v>
      </c>
      <c r="G361" s="147" t="s">
        <v>171</v>
      </c>
      <c r="H361" s="147" t="s">
        <v>1775</v>
      </c>
      <c r="I361" s="147" t="s">
        <v>226</v>
      </c>
      <c r="J361" s="147" t="s">
        <v>1776</v>
      </c>
      <c r="K361" s="147">
        <v>2022</v>
      </c>
      <c r="L361" s="147" t="s">
        <v>1387</v>
      </c>
      <c r="M361" s="147" t="s">
        <v>25</v>
      </c>
      <c r="N361" s="147"/>
      <c r="O361" s="163" t="s">
        <v>1777</v>
      </c>
      <c r="P361" s="168"/>
    </row>
    <row r="362" spans="1:16" s="1" customFormat="1" ht="54" x14ac:dyDescent="0.3">
      <c r="A362" s="141">
        <v>360</v>
      </c>
      <c r="B362" s="152" t="s">
        <v>1778</v>
      </c>
      <c r="C362" s="146" t="s">
        <v>1779</v>
      </c>
      <c r="D362" s="151" t="s">
        <v>202</v>
      </c>
      <c r="E362" s="132" t="s">
        <v>1778</v>
      </c>
      <c r="F362" s="147" t="s">
        <v>20</v>
      </c>
      <c r="G362" s="147" t="s">
        <v>171</v>
      </c>
      <c r="H362" s="147" t="s">
        <v>1780</v>
      </c>
      <c r="I362" s="147" t="s">
        <v>192</v>
      </c>
      <c r="J362" s="147" t="s">
        <v>1781</v>
      </c>
      <c r="K362" s="147">
        <v>2022</v>
      </c>
      <c r="L362" s="118" t="s">
        <v>24</v>
      </c>
      <c r="M362" s="147" t="s">
        <v>25</v>
      </c>
      <c r="N362" s="147"/>
      <c r="O362" s="163" t="s">
        <v>1782</v>
      </c>
      <c r="P362" s="168"/>
    </row>
    <row r="363" spans="1:16" s="1" customFormat="1" ht="27.6" x14ac:dyDescent="0.3">
      <c r="A363" s="141">
        <v>361</v>
      </c>
      <c r="B363" s="152" t="s">
        <v>1783</v>
      </c>
      <c r="C363" s="146" t="s">
        <v>1399</v>
      </c>
      <c r="D363" s="151" t="s">
        <v>1400</v>
      </c>
      <c r="E363" s="132" t="s">
        <v>1783</v>
      </c>
      <c r="F363" s="148" t="s">
        <v>325</v>
      </c>
      <c r="G363" s="148" t="s">
        <v>171</v>
      </c>
      <c r="H363" s="148" t="s">
        <v>1784</v>
      </c>
      <c r="I363" s="148" t="s">
        <v>165</v>
      </c>
      <c r="J363" s="148" t="s">
        <v>1785</v>
      </c>
      <c r="K363" s="148">
        <v>2022</v>
      </c>
      <c r="L363" s="148" t="s">
        <v>38</v>
      </c>
      <c r="M363" s="148" t="s">
        <v>25</v>
      </c>
      <c r="N363" s="148"/>
      <c r="O363" s="164" t="s">
        <v>1786</v>
      </c>
      <c r="P363" s="168"/>
    </row>
    <row r="364" spans="1:16" s="1" customFormat="1" ht="27.6" x14ac:dyDescent="0.3">
      <c r="A364" s="141">
        <v>362</v>
      </c>
      <c r="B364" s="152" t="s">
        <v>1787</v>
      </c>
      <c r="C364" s="146" t="s">
        <v>1788</v>
      </c>
      <c r="D364" s="151" t="s">
        <v>29</v>
      </c>
      <c r="E364" s="132" t="s">
        <v>1787</v>
      </c>
      <c r="F364" s="148" t="s">
        <v>325</v>
      </c>
      <c r="G364" s="148" t="s">
        <v>360</v>
      </c>
      <c r="H364" s="148" t="s">
        <v>1789</v>
      </c>
      <c r="I364" s="148" t="s">
        <v>305</v>
      </c>
      <c r="J364" s="148" t="s">
        <v>1790</v>
      </c>
      <c r="K364" s="148">
        <v>2022</v>
      </c>
      <c r="L364" s="148" t="s">
        <v>1791</v>
      </c>
      <c r="M364" s="148" t="s">
        <v>25</v>
      </c>
      <c r="N364" s="148"/>
      <c r="O364" s="164" t="s">
        <v>1792</v>
      </c>
      <c r="P364" s="168"/>
    </row>
    <row r="365" spans="1:16" s="1" customFormat="1" ht="73.95" customHeight="1" x14ac:dyDescent="0.3">
      <c r="A365" s="141">
        <v>363</v>
      </c>
      <c r="B365" s="152" t="s">
        <v>1793</v>
      </c>
      <c r="C365" s="121" t="s">
        <v>341</v>
      </c>
      <c r="D365" s="151" t="s">
        <v>99</v>
      </c>
      <c r="E365" s="132" t="s">
        <v>1793</v>
      </c>
      <c r="F365" s="118" t="s">
        <v>44</v>
      </c>
      <c r="G365" s="118" t="s">
        <v>21</v>
      </c>
      <c r="H365" s="138" t="s">
        <v>1794</v>
      </c>
      <c r="I365" s="118" t="s">
        <v>992</v>
      </c>
      <c r="J365" s="118" t="s">
        <v>1795</v>
      </c>
      <c r="K365" s="118">
        <v>2022</v>
      </c>
      <c r="L365" s="147" t="s">
        <v>1253</v>
      </c>
      <c r="M365" s="118" t="s">
        <v>25</v>
      </c>
      <c r="N365" s="118"/>
      <c r="O365" s="158" t="s">
        <v>1796</v>
      </c>
      <c r="P365" s="168"/>
    </row>
    <row r="366" spans="1:16" s="1" customFormat="1" ht="73.95" customHeight="1" x14ac:dyDescent="0.3">
      <c r="A366" s="141">
        <v>364</v>
      </c>
      <c r="B366" s="152" t="s">
        <v>1797</v>
      </c>
      <c r="C366" s="146" t="s">
        <v>997</v>
      </c>
      <c r="D366" s="151" t="s">
        <v>99</v>
      </c>
      <c r="E366" s="132" t="s">
        <v>1797</v>
      </c>
      <c r="F366" s="118" t="s">
        <v>20</v>
      </c>
      <c r="G366" s="118" t="s">
        <v>21</v>
      </c>
      <c r="H366" s="147" t="s">
        <v>37</v>
      </c>
      <c r="I366" s="118" t="s">
        <v>606</v>
      </c>
      <c r="J366" s="118" t="s">
        <v>1798</v>
      </c>
      <c r="K366" s="118">
        <v>2022</v>
      </c>
      <c r="L366" s="147" t="s">
        <v>159</v>
      </c>
      <c r="M366" s="118" t="s">
        <v>25</v>
      </c>
      <c r="N366" s="118"/>
      <c r="O366" s="158" t="s">
        <v>1799</v>
      </c>
      <c r="P366" s="168"/>
    </row>
    <row r="367" spans="1:16" s="1" customFormat="1" ht="73.95" customHeight="1" x14ac:dyDescent="0.3">
      <c r="A367" s="141">
        <v>365</v>
      </c>
      <c r="B367" s="152" t="s">
        <v>1800</v>
      </c>
      <c r="C367" s="146" t="s">
        <v>1629</v>
      </c>
      <c r="D367" s="151" t="s">
        <v>86</v>
      </c>
      <c r="E367" s="132" t="s">
        <v>1800</v>
      </c>
      <c r="F367" s="118" t="s">
        <v>20</v>
      </c>
      <c r="G367" s="118" t="s">
        <v>21</v>
      </c>
      <c r="H367" s="118" t="s">
        <v>1801</v>
      </c>
      <c r="I367" s="118" t="s">
        <v>1802</v>
      </c>
      <c r="J367" s="118" t="s">
        <v>1803</v>
      </c>
      <c r="K367" s="118">
        <v>2022</v>
      </c>
      <c r="L367" s="118" t="s">
        <v>1804</v>
      </c>
      <c r="M367" s="118" t="s">
        <v>25</v>
      </c>
      <c r="N367" s="118"/>
      <c r="O367" s="158" t="s">
        <v>1805</v>
      </c>
      <c r="P367" s="168"/>
    </row>
    <row r="368" spans="1:16" s="1" customFormat="1" ht="73.95" customHeight="1" x14ac:dyDescent="0.3">
      <c r="A368" s="141">
        <v>366</v>
      </c>
      <c r="B368" s="152" t="s">
        <v>1806</v>
      </c>
      <c r="C368" s="146" t="s">
        <v>1807</v>
      </c>
      <c r="D368" s="151" t="s">
        <v>86</v>
      </c>
      <c r="E368" s="132" t="s">
        <v>1806</v>
      </c>
      <c r="F368" s="118" t="s">
        <v>20</v>
      </c>
      <c r="G368" s="118" t="s">
        <v>21</v>
      </c>
      <c r="H368" s="118" t="s">
        <v>37</v>
      </c>
      <c r="I368" s="118" t="s">
        <v>305</v>
      </c>
      <c r="J368" s="118" t="s">
        <v>1803</v>
      </c>
      <c r="K368" s="118">
        <v>2022</v>
      </c>
      <c r="L368" s="118" t="s">
        <v>38</v>
      </c>
      <c r="M368" s="118" t="s">
        <v>25</v>
      </c>
      <c r="N368" s="118"/>
      <c r="O368" s="160" t="s">
        <v>1808</v>
      </c>
      <c r="P368" s="168"/>
    </row>
    <row r="369" spans="1:16" s="1" customFormat="1" ht="73.95" customHeight="1" x14ac:dyDescent="0.3">
      <c r="A369" s="141">
        <v>367</v>
      </c>
      <c r="B369" s="152" t="s">
        <v>1809</v>
      </c>
      <c r="C369" s="146" t="s">
        <v>1810</v>
      </c>
      <c r="D369" s="151" t="s">
        <v>86</v>
      </c>
      <c r="E369" s="132" t="s">
        <v>1809</v>
      </c>
      <c r="F369" s="118" t="s">
        <v>256</v>
      </c>
      <c r="G369" s="118" t="s">
        <v>171</v>
      </c>
      <c r="H369" s="118" t="s">
        <v>1811</v>
      </c>
      <c r="I369" s="118" t="s">
        <v>1812</v>
      </c>
      <c r="J369" s="118" t="s">
        <v>1813</v>
      </c>
      <c r="K369" s="118">
        <v>2022</v>
      </c>
      <c r="L369" s="118" t="s">
        <v>1814</v>
      </c>
      <c r="M369" s="118" t="s">
        <v>39</v>
      </c>
      <c r="N369" s="118"/>
      <c r="O369" s="158" t="s">
        <v>1815</v>
      </c>
      <c r="P369" s="168"/>
    </row>
    <row r="370" spans="1:16" s="1" customFormat="1" ht="73.95" customHeight="1" x14ac:dyDescent="0.3">
      <c r="A370" s="141">
        <v>368</v>
      </c>
      <c r="B370" s="152" t="s">
        <v>1816</v>
      </c>
      <c r="C370" s="146" t="s">
        <v>1817</v>
      </c>
      <c r="D370" s="151" t="s">
        <v>73</v>
      </c>
      <c r="E370" s="132" t="s">
        <v>1816</v>
      </c>
      <c r="F370" s="118" t="s">
        <v>20</v>
      </c>
      <c r="G370" s="118" t="s">
        <v>21</v>
      </c>
      <c r="H370" s="118" t="s">
        <v>37</v>
      </c>
      <c r="I370" s="118" t="s">
        <v>23</v>
      </c>
      <c r="J370" s="118" t="s">
        <v>1734</v>
      </c>
      <c r="K370" s="118">
        <v>2022</v>
      </c>
      <c r="L370" s="118" t="s">
        <v>54</v>
      </c>
      <c r="M370" s="118" t="s">
        <v>25</v>
      </c>
      <c r="N370" s="118"/>
      <c r="O370" s="158" t="s">
        <v>23</v>
      </c>
      <c r="P370" s="168"/>
    </row>
    <row r="371" spans="1:16" s="1" customFormat="1" ht="73.95" customHeight="1" x14ac:dyDescent="0.3">
      <c r="A371" s="141">
        <v>369</v>
      </c>
      <c r="B371" s="152" t="s">
        <v>1818</v>
      </c>
      <c r="C371" s="146" t="s">
        <v>384</v>
      </c>
      <c r="D371" s="151" t="s">
        <v>65</v>
      </c>
      <c r="E371" s="132" t="s">
        <v>1818</v>
      </c>
      <c r="F371" s="118" t="s">
        <v>44</v>
      </c>
      <c r="G371" s="118" t="s">
        <v>65</v>
      </c>
      <c r="H371" s="118" t="s">
        <v>1819</v>
      </c>
      <c r="I371" s="118" t="s">
        <v>487</v>
      </c>
      <c r="J371" s="118" t="s">
        <v>1820</v>
      </c>
      <c r="K371" s="118">
        <v>2022</v>
      </c>
      <c r="L371" s="118" t="s">
        <v>1263</v>
      </c>
      <c r="M371" s="118" t="s">
        <v>25</v>
      </c>
      <c r="N371" s="118"/>
      <c r="O371" s="160" t="s">
        <v>1821</v>
      </c>
      <c r="P371" s="168"/>
    </row>
    <row r="372" spans="1:16" s="1" customFormat="1" ht="73.95" customHeight="1" x14ac:dyDescent="0.3">
      <c r="A372" s="141">
        <v>370</v>
      </c>
      <c r="B372" s="152" t="s">
        <v>1822</v>
      </c>
      <c r="C372" s="146" t="s">
        <v>997</v>
      </c>
      <c r="D372" s="151" t="s">
        <v>99</v>
      </c>
      <c r="E372" s="132" t="s">
        <v>1822</v>
      </c>
      <c r="F372" s="118" t="s">
        <v>44</v>
      </c>
      <c r="G372" s="118" t="s">
        <v>21</v>
      </c>
      <c r="H372" s="118" t="s">
        <v>1823</v>
      </c>
      <c r="I372" s="118" t="s">
        <v>606</v>
      </c>
      <c r="J372" s="118" t="s">
        <v>1824</v>
      </c>
      <c r="K372" s="118">
        <v>2022</v>
      </c>
      <c r="L372" s="118" t="s">
        <v>1825</v>
      </c>
      <c r="M372" s="118" t="s">
        <v>25</v>
      </c>
      <c r="N372" s="118"/>
      <c r="O372" s="160" t="s">
        <v>1826</v>
      </c>
      <c r="P372" s="168"/>
    </row>
    <row r="373" spans="1:16" s="1" customFormat="1" ht="73.95" customHeight="1" x14ac:dyDescent="0.3">
      <c r="A373" s="141">
        <v>371</v>
      </c>
      <c r="B373" s="152" t="s">
        <v>1827</v>
      </c>
      <c r="C373" s="146" t="s">
        <v>1828</v>
      </c>
      <c r="D373" s="151" t="s">
        <v>65</v>
      </c>
      <c r="E373" s="132" t="s">
        <v>1827</v>
      </c>
      <c r="F373" s="118" t="s">
        <v>30</v>
      </c>
      <c r="G373" s="118" t="s">
        <v>65</v>
      </c>
      <c r="H373" s="118" t="s">
        <v>37</v>
      </c>
      <c r="I373" s="118" t="s">
        <v>305</v>
      </c>
      <c r="J373" s="118" t="s">
        <v>1829</v>
      </c>
      <c r="K373" s="118">
        <v>2022</v>
      </c>
      <c r="L373" s="118" t="s">
        <v>38</v>
      </c>
      <c r="M373" s="118" t="s">
        <v>25</v>
      </c>
      <c r="N373" s="118"/>
      <c r="O373" s="160" t="s">
        <v>1830</v>
      </c>
      <c r="P373" s="168"/>
    </row>
    <row r="374" spans="1:16" s="1" customFormat="1" ht="73.95" customHeight="1" x14ac:dyDescent="0.3">
      <c r="A374" s="141">
        <v>372</v>
      </c>
      <c r="B374" s="152" t="s">
        <v>1831</v>
      </c>
      <c r="C374" s="146" t="s">
        <v>1832</v>
      </c>
      <c r="D374" s="151" t="s">
        <v>43</v>
      </c>
      <c r="E374" s="132" t="s">
        <v>1831</v>
      </c>
      <c r="F374" s="118" t="s">
        <v>20</v>
      </c>
      <c r="G374" s="118" t="s">
        <v>171</v>
      </c>
      <c r="H374" s="118" t="s">
        <v>37</v>
      </c>
      <c r="I374" s="118" t="s">
        <v>23</v>
      </c>
      <c r="J374" s="118" t="s">
        <v>1803</v>
      </c>
      <c r="K374" s="118">
        <v>2022</v>
      </c>
      <c r="L374" s="118" t="s">
        <v>54</v>
      </c>
      <c r="M374" s="118" t="s">
        <v>25</v>
      </c>
      <c r="N374" s="118"/>
      <c r="O374" s="158" t="s">
        <v>23</v>
      </c>
      <c r="P374" s="168"/>
    </row>
    <row r="375" spans="1:16" s="1" customFormat="1" ht="73.95" customHeight="1" x14ac:dyDescent="0.3">
      <c r="A375" s="141">
        <v>373</v>
      </c>
      <c r="B375" s="152" t="s">
        <v>1833</v>
      </c>
      <c r="C375" s="146" t="s">
        <v>853</v>
      </c>
      <c r="D375" s="151" t="s">
        <v>43</v>
      </c>
      <c r="E375" s="132" t="s">
        <v>1833</v>
      </c>
      <c r="F375" s="118" t="s">
        <v>20</v>
      </c>
      <c r="G375" s="118" t="s">
        <v>21</v>
      </c>
      <c r="H375" s="118" t="s">
        <v>37</v>
      </c>
      <c r="I375" s="118" t="s">
        <v>23</v>
      </c>
      <c r="J375" s="118" t="s">
        <v>1834</v>
      </c>
      <c r="K375" s="118">
        <v>2022</v>
      </c>
      <c r="L375" s="118" t="s">
        <v>116</v>
      </c>
      <c r="M375" s="118" t="s">
        <v>25</v>
      </c>
      <c r="N375" s="118"/>
      <c r="O375" s="158" t="s">
        <v>1835</v>
      </c>
      <c r="P375" s="168"/>
    </row>
    <row r="376" spans="1:16" s="1" customFormat="1" ht="73.95" customHeight="1" x14ac:dyDescent="0.3">
      <c r="A376" s="141">
        <v>374</v>
      </c>
      <c r="B376" s="152" t="s">
        <v>1836</v>
      </c>
      <c r="C376" s="146" t="s">
        <v>1837</v>
      </c>
      <c r="D376" s="151" t="s">
        <v>73</v>
      </c>
      <c r="E376" s="132" t="s">
        <v>1836</v>
      </c>
      <c r="F376" s="118" t="s">
        <v>20</v>
      </c>
      <c r="G376" s="118" t="s">
        <v>21</v>
      </c>
      <c r="H376" s="118" t="s">
        <v>37</v>
      </c>
      <c r="I376" s="118" t="s">
        <v>23</v>
      </c>
      <c r="J376" s="118" t="s">
        <v>1838</v>
      </c>
      <c r="K376" s="118">
        <v>2022</v>
      </c>
      <c r="L376" s="118" t="s">
        <v>54</v>
      </c>
      <c r="M376" s="118" t="s">
        <v>25</v>
      </c>
      <c r="N376" s="118"/>
      <c r="O376" s="158" t="s">
        <v>23</v>
      </c>
      <c r="P376" s="168"/>
    </row>
    <row r="377" spans="1:16" s="1" customFormat="1" ht="73.95" customHeight="1" x14ac:dyDescent="0.3">
      <c r="A377" s="141">
        <v>375</v>
      </c>
      <c r="B377" s="152" t="s">
        <v>1839</v>
      </c>
      <c r="C377" s="146" t="s">
        <v>1840</v>
      </c>
      <c r="D377" s="151" t="s">
        <v>202</v>
      </c>
      <c r="E377" s="132" t="s">
        <v>1839</v>
      </c>
      <c r="F377" s="118" t="s">
        <v>44</v>
      </c>
      <c r="G377" s="118" t="s">
        <v>469</v>
      </c>
      <c r="H377" s="118" t="s">
        <v>1841</v>
      </c>
      <c r="I377" s="118" t="s">
        <v>23</v>
      </c>
      <c r="J377" s="118" t="s">
        <v>1842</v>
      </c>
      <c r="K377" s="118">
        <v>2022</v>
      </c>
      <c r="L377" s="118" t="s">
        <v>1263</v>
      </c>
      <c r="M377" s="118" t="s">
        <v>25</v>
      </c>
      <c r="N377" s="118"/>
      <c r="O377" s="158" t="s">
        <v>23</v>
      </c>
      <c r="P377" s="168"/>
    </row>
    <row r="378" spans="1:16" s="1" customFormat="1" ht="73.95" customHeight="1" x14ac:dyDescent="0.3">
      <c r="A378" s="141">
        <v>376</v>
      </c>
      <c r="B378" s="152" t="s">
        <v>1843</v>
      </c>
      <c r="C378" s="150" t="s">
        <v>2507</v>
      </c>
      <c r="D378" s="151" t="s">
        <v>359</v>
      </c>
      <c r="E378" s="132" t="s">
        <v>1843</v>
      </c>
      <c r="F378" s="118" t="s">
        <v>325</v>
      </c>
      <c r="G378" s="118" t="s">
        <v>21</v>
      </c>
      <c r="H378" s="118" t="s">
        <v>37</v>
      </c>
      <c r="I378" s="138" t="s">
        <v>305</v>
      </c>
      <c r="J378" s="138" t="s">
        <v>1844</v>
      </c>
      <c r="K378" s="118">
        <v>2022</v>
      </c>
      <c r="L378" s="138" t="s">
        <v>24</v>
      </c>
      <c r="M378" s="138" t="s">
        <v>25</v>
      </c>
      <c r="N378" s="118"/>
      <c r="O378" s="158" t="s">
        <v>23</v>
      </c>
      <c r="P378" s="168"/>
    </row>
    <row r="379" spans="1:16" s="1" customFormat="1" ht="73.95" customHeight="1" x14ac:dyDescent="0.3">
      <c r="A379" s="141">
        <v>377</v>
      </c>
      <c r="B379" s="152" t="s">
        <v>1845</v>
      </c>
      <c r="C379" s="150" t="s">
        <v>1846</v>
      </c>
      <c r="D379" s="151" t="s">
        <v>202</v>
      </c>
      <c r="E379" s="132" t="s">
        <v>1845</v>
      </c>
      <c r="F379" s="118" t="s">
        <v>325</v>
      </c>
      <c r="G379" s="118" t="s">
        <v>469</v>
      </c>
      <c r="H379" s="138" t="s">
        <v>1847</v>
      </c>
      <c r="I379" s="138" t="s">
        <v>305</v>
      </c>
      <c r="J379" s="138" t="s">
        <v>1776</v>
      </c>
      <c r="K379" s="118">
        <v>2022</v>
      </c>
      <c r="L379" s="138" t="s">
        <v>24</v>
      </c>
      <c r="M379" s="138" t="s">
        <v>25</v>
      </c>
      <c r="N379" s="118"/>
      <c r="O379" s="160" t="s">
        <v>1848</v>
      </c>
      <c r="P379" s="168"/>
    </row>
    <row r="380" spans="1:16" s="1" customFormat="1" ht="73.95" customHeight="1" x14ac:dyDescent="0.3">
      <c r="A380" s="141">
        <v>378</v>
      </c>
      <c r="B380" s="152" t="s">
        <v>1849</v>
      </c>
      <c r="C380" s="150" t="s">
        <v>666</v>
      </c>
      <c r="D380" s="151" t="s">
        <v>447</v>
      </c>
      <c r="E380" s="132" t="s">
        <v>1849</v>
      </c>
      <c r="F380" s="118" t="s">
        <v>20</v>
      </c>
      <c r="G380" s="118" t="s">
        <v>469</v>
      </c>
      <c r="H380" s="118" t="s">
        <v>37</v>
      </c>
      <c r="I380" s="138" t="s">
        <v>305</v>
      </c>
      <c r="J380" s="138" t="s">
        <v>1850</v>
      </c>
      <c r="K380" s="118">
        <v>2022</v>
      </c>
      <c r="L380" s="138" t="s">
        <v>54</v>
      </c>
      <c r="M380" s="138" t="s">
        <v>25</v>
      </c>
      <c r="N380" s="118"/>
      <c r="O380" s="158" t="s">
        <v>23</v>
      </c>
      <c r="P380" s="168"/>
    </row>
    <row r="381" spans="1:16" s="1" customFormat="1" ht="73.95" customHeight="1" x14ac:dyDescent="0.3">
      <c r="A381" s="154">
        <v>379</v>
      </c>
      <c r="B381" s="152" t="s">
        <v>1851</v>
      </c>
      <c r="C381" s="150" t="s">
        <v>1852</v>
      </c>
      <c r="D381" s="151" t="s">
        <v>1122</v>
      </c>
      <c r="E381" s="132" t="s">
        <v>1851</v>
      </c>
      <c r="F381" s="118" t="s">
        <v>20</v>
      </c>
      <c r="G381" s="118" t="s">
        <v>171</v>
      </c>
      <c r="H381" s="118" t="s">
        <v>37</v>
      </c>
      <c r="I381" s="138" t="s">
        <v>305</v>
      </c>
      <c r="J381" s="138" t="s">
        <v>1853</v>
      </c>
      <c r="K381" s="118">
        <v>2022</v>
      </c>
      <c r="L381" s="138" t="s">
        <v>159</v>
      </c>
      <c r="M381" s="138" t="s">
        <v>25</v>
      </c>
      <c r="N381" s="155" t="s">
        <v>1854</v>
      </c>
      <c r="O381" s="158" t="s">
        <v>1855</v>
      </c>
      <c r="P381" s="168"/>
    </row>
    <row r="382" spans="1:16" s="1" customFormat="1" ht="73.95" customHeight="1" x14ac:dyDescent="0.3">
      <c r="A382" s="141">
        <v>380</v>
      </c>
      <c r="B382" s="152" t="s">
        <v>1856</v>
      </c>
      <c r="C382" s="150" t="s">
        <v>1857</v>
      </c>
      <c r="D382" s="151" t="s">
        <v>99</v>
      </c>
      <c r="E382" s="132" t="s">
        <v>1856</v>
      </c>
      <c r="F382" s="118" t="s">
        <v>44</v>
      </c>
      <c r="G382" s="118" t="s">
        <v>87</v>
      </c>
      <c r="H382" s="118" t="s">
        <v>1858</v>
      </c>
      <c r="I382" s="138" t="s">
        <v>305</v>
      </c>
      <c r="J382" s="138" t="s">
        <v>1859</v>
      </c>
      <c r="K382" s="118">
        <v>2022</v>
      </c>
      <c r="L382" s="138" t="s">
        <v>193</v>
      </c>
      <c r="M382" s="138" t="s">
        <v>25</v>
      </c>
      <c r="N382" s="118"/>
      <c r="O382" s="158" t="s">
        <v>1860</v>
      </c>
      <c r="P382" s="168"/>
    </row>
    <row r="383" spans="1:16" s="1" customFormat="1" ht="73.95" customHeight="1" x14ac:dyDescent="0.3">
      <c r="A383" s="141">
        <v>381</v>
      </c>
      <c r="B383" s="152" t="s">
        <v>1861</v>
      </c>
      <c r="C383" s="150" t="s">
        <v>56</v>
      </c>
      <c r="D383" s="151" t="s">
        <v>57</v>
      </c>
      <c r="E383" s="132" t="s">
        <v>1861</v>
      </c>
      <c r="F383" s="118" t="s">
        <v>44</v>
      </c>
      <c r="G383" s="118" t="s">
        <v>1862</v>
      </c>
      <c r="H383" s="138" t="s">
        <v>1863</v>
      </c>
      <c r="I383" s="138" t="s">
        <v>305</v>
      </c>
      <c r="J383" s="138" t="s">
        <v>1864</v>
      </c>
      <c r="K383" s="118">
        <v>2022</v>
      </c>
      <c r="L383" s="138" t="s">
        <v>1865</v>
      </c>
      <c r="M383" s="138" t="s">
        <v>25</v>
      </c>
      <c r="N383" s="118"/>
      <c r="O383" s="160" t="s">
        <v>1866</v>
      </c>
      <c r="P383" s="168"/>
    </row>
    <row r="384" spans="1:16" s="1" customFormat="1" ht="73.95" customHeight="1" x14ac:dyDescent="0.3">
      <c r="A384" s="141">
        <v>382</v>
      </c>
      <c r="B384" s="152" t="s">
        <v>1867</v>
      </c>
      <c r="C384" s="150" t="s">
        <v>1868</v>
      </c>
      <c r="D384" s="151" t="s">
        <v>230</v>
      </c>
      <c r="E384" s="132" t="s">
        <v>1867</v>
      </c>
      <c r="F384" s="118" t="s">
        <v>325</v>
      </c>
      <c r="G384" s="118" t="s">
        <v>21</v>
      </c>
      <c r="H384" s="118" t="s">
        <v>37</v>
      </c>
      <c r="I384" s="138" t="s">
        <v>305</v>
      </c>
      <c r="J384" s="138" t="s">
        <v>1869</v>
      </c>
      <c r="K384" s="118">
        <v>2022</v>
      </c>
      <c r="L384" s="138" t="s">
        <v>1870</v>
      </c>
      <c r="M384" s="138" t="s">
        <v>25</v>
      </c>
      <c r="N384" s="118"/>
      <c r="O384" s="160" t="s">
        <v>1871</v>
      </c>
      <c r="P384" s="168"/>
    </row>
    <row r="385" spans="1:16" s="1" customFormat="1" ht="73.95" customHeight="1" x14ac:dyDescent="0.3">
      <c r="A385" s="141">
        <v>383</v>
      </c>
      <c r="B385" s="152" t="s">
        <v>2477</v>
      </c>
      <c r="C385" s="150" t="s">
        <v>2478</v>
      </c>
      <c r="D385" s="151" t="s">
        <v>57</v>
      </c>
      <c r="E385" s="132" t="s">
        <v>2477</v>
      </c>
      <c r="F385" s="118" t="s">
        <v>325</v>
      </c>
      <c r="G385" s="118" t="s">
        <v>21</v>
      </c>
      <c r="H385" s="118" t="s">
        <v>37</v>
      </c>
      <c r="I385" s="138" t="s">
        <v>916</v>
      </c>
      <c r="J385" s="138" t="s">
        <v>2479</v>
      </c>
      <c r="K385" s="118">
        <v>2022</v>
      </c>
      <c r="L385" s="138" t="s">
        <v>54</v>
      </c>
      <c r="M385" s="138" t="s">
        <v>25</v>
      </c>
      <c r="N385" s="118"/>
      <c r="O385" s="160" t="s">
        <v>23</v>
      </c>
      <c r="P385" s="168"/>
    </row>
    <row r="386" spans="1:16" s="1" customFormat="1" ht="73.95" customHeight="1" x14ac:dyDescent="0.3">
      <c r="A386" s="141">
        <v>384</v>
      </c>
      <c r="B386" s="152" t="s">
        <v>2480</v>
      </c>
      <c r="C386" s="150" t="s">
        <v>72</v>
      </c>
      <c r="D386" s="151" t="s">
        <v>73</v>
      </c>
      <c r="E386" s="132" t="s">
        <v>2480</v>
      </c>
      <c r="F386" s="118" t="s">
        <v>20</v>
      </c>
      <c r="G386" s="118" t="s">
        <v>21</v>
      </c>
      <c r="H386" s="118" t="s">
        <v>37</v>
      </c>
      <c r="I386" s="138" t="s">
        <v>2481</v>
      </c>
      <c r="J386" s="138" t="s">
        <v>2482</v>
      </c>
      <c r="K386" s="118">
        <v>2022</v>
      </c>
      <c r="L386" s="138" t="s">
        <v>54</v>
      </c>
      <c r="M386" s="138" t="s">
        <v>25</v>
      </c>
      <c r="N386" s="118"/>
      <c r="O386" s="160" t="s">
        <v>2483</v>
      </c>
      <c r="P386" s="168"/>
    </row>
    <row r="387" spans="1:16" s="1" customFormat="1" ht="73.95" customHeight="1" x14ac:dyDescent="0.3">
      <c r="A387" s="141">
        <v>385</v>
      </c>
      <c r="B387" s="152" t="s">
        <v>2484</v>
      </c>
      <c r="C387" s="150" t="s">
        <v>2485</v>
      </c>
      <c r="D387" s="151" t="s">
        <v>86</v>
      </c>
      <c r="E387" s="132" t="s">
        <v>2484</v>
      </c>
      <c r="F387" s="118" t="s">
        <v>325</v>
      </c>
      <c r="G387" s="118" t="s">
        <v>171</v>
      </c>
      <c r="H387" s="118" t="s">
        <v>37</v>
      </c>
      <c r="I387" s="138" t="s">
        <v>2486</v>
      </c>
      <c r="J387" s="138" t="s">
        <v>2487</v>
      </c>
      <c r="K387" s="118">
        <v>2022</v>
      </c>
      <c r="L387" s="138" t="s">
        <v>281</v>
      </c>
      <c r="M387" s="138" t="s">
        <v>25</v>
      </c>
      <c r="N387" s="118"/>
      <c r="O387" s="160" t="s">
        <v>23</v>
      </c>
      <c r="P387" s="168"/>
    </row>
    <row r="388" spans="1:16" s="1" customFormat="1" ht="73.95" customHeight="1" x14ac:dyDescent="0.3">
      <c r="A388" s="141">
        <v>386</v>
      </c>
      <c r="B388" s="152" t="s">
        <v>2456</v>
      </c>
      <c r="C388" s="150" t="s">
        <v>2457</v>
      </c>
      <c r="D388" s="151" t="s">
        <v>202</v>
      </c>
      <c r="E388" s="132" t="s">
        <v>2456</v>
      </c>
      <c r="F388" s="118" t="s">
        <v>44</v>
      </c>
      <c r="G388" s="118" t="s">
        <v>469</v>
      </c>
      <c r="H388" s="138" t="s">
        <v>2458</v>
      </c>
      <c r="I388" s="138" t="s">
        <v>2459</v>
      </c>
      <c r="J388" s="138" t="s">
        <v>2455</v>
      </c>
      <c r="K388" s="118">
        <v>2023</v>
      </c>
      <c r="L388" s="138" t="s">
        <v>2460</v>
      </c>
      <c r="M388" s="138" t="s">
        <v>25</v>
      </c>
      <c r="N388" s="118"/>
      <c r="O388" s="160" t="s">
        <v>23</v>
      </c>
      <c r="P388" s="168"/>
    </row>
    <row r="389" spans="1:16" s="1" customFormat="1" ht="49.95" customHeight="1" x14ac:dyDescent="0.3">
      <c r="A389" s="141">
        <v>387</v>
      </c>
      <c r="B389" s="152" t="s">
        <v>2462</v>
      </c>
      <c r="C389" s="149" t="s">
        <v>2463</v>
      </c>
      <c r="D389" s="151" t="s">
        <v>2464</v>
      </c>
      <c r="E389" s="132" t="s">
        <v>2462</v>
      </c>
      <c r="F389" s="118" t="s">
        <v>44</v>
      </c>
      <c r="G389" s="118" t="s">
        <v>644</v>
      </c>
      <c r="H389" s="138" t="s">
        <v>2465</v>
      </c>
      <c r="I389" s="118" t="s">
        <v>305</v>
      </c>
      <c r="J389" s="118" t="s">
        <v>2468</v>
      </c>
      <c r="K389" s="118">
        <v>2023</v>
      </c>
      <c r="L389" s="118" t="s">
        <v>2469</v>
      </c>
      <c r="M389" s="118" t="s">
        <v>25</v>
      </c>
      <c r="N389" s="118"/>
      <c r="O389" s="160" t="s">
        <v>23</v>
      </c>
      <c r="P389" s="168"/>
    </row>
    <row r="390" spans="1:16" s="1" customFormat="1" ht="49.95" customHeight="1" x14ac:dyDescent="0.3">
      <c r="A390" s="141">
        <v>388</v>
      </c>
      <c r="B390" s="152" t="s">
        <v>2466</v>
      </c>
      <c r="C390" s="149" t="s">
        <v>603</v>
      </c>
      <c r="D390" s="151" t="s">
        <v>604</v>
      </c>
      <c r="E390" s="132" t="s">
        <v>2466</v>
      </c>
      <c r="F390" s="118" t="s">
        <v>20</v>
      </c>
      <c r="G390" s="118" t="s">
        <v>21</v>
      </c>
      <c r="H390" s="118" t="s">
        <v>37</v>
      </c>
      <c r="I390" s="118" t="s">
        <v>2489</v>
      </c>
      <c r="J390" s="118" t="s">
        <v>2467</v>
      </c>
      <c r="K390" s="118">
        <v>2023</v>
      </c>
      <c r="L390" s="118" t="s">
        <v>54</v>
      </c>
      <c r="M390" s="118" t="s">
        <v>25</v>
      </c>
      <c r="N390" s="118"/>
      <c r="O390" s="160" t="s">
        <v>23</v>
      </c>
      <c r="P390" s="168"/>
    </row>
    <row r="391" spans="1:16" s="1" customFormat="1" ht="49.95" customHeight="1" x14ac:dyDescent="0.3">
      <c r="A391" s="141">
        <v>389</v>
      </c>
      <c r="B391" s="152" t="s">
        <v>2500</v>
      </c>
      <c r="C391" s="149" t="s">
        <v>384</v>
      </c>
      <c r="D391" s="151" t="s">
        <v>65</v>
      </c>
      <c r="E391" s="132" t="s">
        <v>2500</v>
      </c>
      <c r="F391" s="118" t="s">
        <v>44</v>
      </c>
      <c r="G391" s="118" t="s">
        <v>65</v>
      </c>
      <c r="H391" s="118" t="s">
        <v>2501</v>
      </c>
      <c r="I391" s="118" t="s">
        <v>487</v>
      </c>
      <c r="J391" s="118" t="s">
        <v>2502</v>
      </c>
      <c r="K391" s="118">
        <v>2023</v>
      </c>
      <c r="L391" s="118" t="s">
        <v>2503</v>
      </c>
      <c r="M391" s="118" t="s">
        <v>25</v>
      </c>
      <c r="N391" s="118"/>
      <c r="O391" s="160" t="s">
        <v>2504</v>
      </c>
      <c r="P391" s="168"/>
    </row>
    <row r="392" spans="1:16" x14ac:dyDescent="0.3">
      <c r="A392" s="192"/>
      <c r="B392" s="196"/>
      <c r="C392" s="197"/>
      <c r="D392" s="198"/>
      <c r="E392" s="199"/>
      <c r="F392" s="200"/>
      <c r="G392" s="200"/>
      <c r="H392" s="201"/>
      <c r="I392" s="200"/>
      <c r="J392" s="201"/>
      <c r="K392" s="201"/>
      <c r="L392" s="201"/>
      <c r="M392" s="201"/>
      <c r="N392" s="202"/>
      <c r="O392" s="202"/>
      <c r="P392" s="200"/>
    </row>
    <row r="393" spans="1:16" x14ac:dyDescent="0.3">
      <c r="A393" s="56"/>
      <c r="B393" s="169"/>
      <c r="C393" s="54"/>
      <c r="D393" s="52"/>
      <c r="E393" s="171"/>
      <c r="F393" s="4"/>
      <c r="G393" s="4"/>
      <c r="J393" s="2"/>
      <c r="K393" s="2"/>
      <c r="L393" s="2"/>
      <c r="N393" s="15"/>
      <c r="O393" s="15"/>
    </row>
    <row r="394" spans="1:16" x14ac:dyDescent="0.3">
      <c r="A394" s="56"/>
      <c r="B394" s="169"/>
      <c r="C394" s="54"/>
      <c r="D394" s="52"/>
      <c r="E394" s="171"/>
      <c r="F394" s="4"/>
      <c r="G394" s="4"/>
      <c r="J394" s="2"/>
      <c r="K394" s="2"/>
      <c r="L394" s="2"/>
      <c r="N394" s="15"/>
      <c r="O394" s="15"/>
    </row>
    <row r="395" spans="1:16" x14ac:dyDescent="0.3">
      <c r="A395" s="56"/>
      <c r="B395" s="169"/>
      <c r="C395" s="54"/>
      <c r="D395" s="52"/>
      <c r="E395" s="172"/>
      <c r="F395" s="4"/>
      <c r="G395" s="4"/>
      <c r="J395" s="2"/>
      <c r="K395" s="2"/>
      <c r="L395" s="2"/>
      <c r="N395" s="15"/>
      <c r="O395" s="15"/>
    </row>
    <row r="396" spans="1:16" x14ac:dyDescent="0.3">
      <c r="A396" s="56"/>
      <c r="B396" s="169"/>
      <c r="C396" s="54"/>
      <c r="D396" s="52"/>
      <c r="E396" s="171"/>
      <c r="F396" s="4"/>
      <c r="G396" s="4"/>
      <c r="J396" s="2"/>
      <c r="K396" s="2"/>
      <c r="L396" s="2"/>
      <c r="N396" s="15"/>
      <c r="O396" s="15"/>
    </row>
    <row r="397" spans="1:16" x14ac:dyDescent="0.3">
      <c r="A397" s="56"/>
      <c r="B397" s="169"/>
      <c r="C397" s="54"/>
      <c r="D397" s="52"/>
      <c r="E397" s="171"/>
      <c r="F397" s="4"/>
      <c r="G397" s="4"/>
      <c r="J397" s="2"/>
      <c r="K397" s="2"/>
      <c r="L397" s="2"/>
      <c r="N397" s="15"/>
      <c r="O397" s="15"/>
    </row>
    <row r="398" spans="1:16" x14ac:dyDescent="0.3">
      <c r="A398" s="56"/>
      <c r="B398" s="169"/>
      <c r="C398" s="54"/>
      <c r="D398" s="52"/>
      <c r="E398" s="171"/>
      <c r="F398" s="4"/>
      <c r="G398" s="4"/>
      <c r="J398" s="2"/>
      <c r="K398" s="2"/>
      <c r="L398" s="2"/>
      <c r="N398" s="15"/>
      <c r="O398" s="15"/>
    </row>
    <row r="399" spans="1:16" x14ac:dyDescent="0.3">
      <c r="A399" s="56"/>
      <c r="B399" s="169"/>
      <c r="C399" s="54"/>
      <c r="D399" s="52"/>
      <c r="E399" s="171"/>
      <c r="F399" s="4"/>
      <c r="G399" s="4"/>
      <c r="J399" s="2"/>
      <c r="K399" s="2"/>
      <c r="L399" s="2"/>
      <c r="N399" s="15"/>
      <c r="O399" s="15"/>
    </row>
    <row r="400" spans="1:16" x14ac:dyDescent="0.3">
      <c r="A400" s="56"/>
      <c r="B400" s="169"/>
      <c r="C400" s="54"/>
      <c r="D400" s="52"/>
      <c r="E400" s="171"/>
      <c r="F400" s="4"/>
      <c r="G400" s="4"/>
      <c r="J400" s="2"/>
      <c r="K400" s="2"/>
      <c r="L400" s="2"/>
      <c r="N400" s="15"/>
      <c r="O400" s="15"/>
    </row>
    <row r="401" spans="1:15" x14ac:dyDescent="0.3">
      <c r="A401" s="56"/>
      <c r="B401" s="169"/>
      <c r="C401" s="54"/>
      <c r="D401" s="52"/>
      <c r="E401" s="171"/>
      <c r="F401" s="4"/>
      <c r="G401" s="4"/>
      <c r="J401" s="2"/>
      <c r="K401" s="2"/>
      <c r="L401" s="2"/>
      <c r="N401" s="15"/>
      <c r="O401" s="15"/>
    </row>
    <row r="402" spans="1:15" x14ac:dyDescent="0.3">
      <c r="A402" s="56"/>
      <c r="B402" s="169"/>
      <c r="C402" s="54"/>
      <c r="D402" s="52"/>
      <c r="E402" s="171"/>
      <c r="F402" s="4"/>
      <c r="G402" s="4"/>
      <c r="J402" s="2"/>
      <c r="K402" s="2"/>
      <c r="L402" s="2"/>
      <c r="N402" s="15"/>
      <c r="O402" s="15"/>
    </row>
    <row r="403" spans="1:15" x14ac:dyDescent="0.3">
      <c r="A403" s="56"/>
      <c r="B403" s="169"/>
      <c r="C403" s="54"/>
      <c r="D403" s="52"/>
      <c r="E403" s="171"/>
      <c r="F403" s="4"/>
      <c r="G403" s="4"/>
      <c r="J403" s="2"/>
      <c r="K403" s="2"/>
      <c r="L403" s="2"/>
      <c r="N403" s="15"/>
      <c r="O403" s="15"/>
    </row>
    <row r="404" spans="1:15" x14ac:dyDescent="0.3">
      <c r="A404" s="56"/>
      <c r="B404" s="169"/>
      <c r="C404" s="54"/>
      <c r="D404" s="52"/>
      <c r="E404" s="171"/>
      <c r="F404" s="4"/>
      <c r="G404" s="4"/>
      <c r="J404" s="2"/>
      <c r="K404" s="2"/>
      <c r="L404" s="2"/>
      <c r="N404" s="15"/>
      <c r="O404" s="15"/>
    </row>
    <row r="405" spans="1:15" x14ac:dyDescent="0.3">
      <c r="A405" s="56"/>
      <c r="B405" s="169"/>
      <c r="C405" s="54"/>
      <c r="D405" s="52"/>
      <c r="E405" s="171"/>
      <c r="F405" s="4"/>
      <c r="G405" s="4"/>
      <c r="J405" s="2"/>
      <c r="K405" s="2"/>
      <c r="L405" s="2"/>
      <c r="N405" s="15"/>
      <c r="O405" s="15"/>
    </row>
    <row r="406" spans="1:15" x14ac:dyDescent="0.3">
      <c r="A406" s="56"/>
      <c r="B406" s="169"/>
      <c r="C406" s="54"/>
      <c r="D406" s="52"/>
      <c r="E406" s="171"/>
      <c r="F406" s="4"/>
      <c r="G406" s="4"/>
      <c r="J406" s="2"/>
      <c r="K406" s="2"/>
      <c r="L406" s="2"/>
      <c r="N406" s="15"/>
      <c r="O406" s="15"/>
    </row>
    <row r="407" spans="1:15" x14ac:dyDescent="0.3">
      <c r="A407" s="56"/>
      <c r="B407" s="169"/>
      <c r="C407" s="54"/>
      <c r="D407" s="52"/>
      <c r="E407" s="171"/>
      <c r="F407" s="4"/>
      <c r="G407" s="4"/>
      <c r="J407" s="2"/>
      <c r="K407" s="2"/>
      <c r="L407" s="2"/>
      <c r="N407" s="15"/>
      <c r="O407" s="15"/>
    </row>
    <row r="408" spans="1:15" x14ac:dyDescent="0.3">
      <c r="A408" s="56"/>
      <c r="B408" s="169"/>
      <c r="C408" s="54"/>
      <c r="D408" s="52"/>
      <c r="E408" s="171"/>
      <c r="F408" s="4"/>
      <c r="G408" s="4"/>
      <c r="J408" s="2"/>
      <c r="K408" s="2"/>
      <c r="L408" s="2"/>
      <c r="N408" s="15"/>
      <c r="O408" s="15"/>
    </row>
    <row r="409" spans="1:15" x14ac:dyDescent="0.3">
      <c r="A409" s="56"/>
      <c r="B409" s="169"/>
      <c r="C409" s="54"/>
      <c r="D409" s="52"/>
      <c r="E409" s="171"/>
      <c r="F409" s="4"/>
      <c r="G409" s="4"/>
      <c r="J409" s="2"/>
      <c r="K409" s="2"/>
      <c r="L409" s="2"/>
      <c r="N409" s="15"/>
      <c r="O409" s="15"/>
    </row>
    <row r="410" spans="1:15" x14ac:dyDescent="0.3">
      <c r="A410" s="56"/>
      <c r="B410" s="169"/>
      <c r="C410" s="54"/>
      <c r="D410" s="52"/>
      <c r="E410" s="171"/>
      <c r="F410" s="4"/>
      <c r="G410" s="4"/>
      <c r="J410" s="2"/>
      <c r="K410" s="2"/>
      <c r="L410" s="2"/>
      <c r="N410" s="15"/>
      <c r="O410" s="15"/>
    </row>
    <row r="411" spans="1:15" x14ac:dyDescent="0.3">
      <c r="A411" s="56"/>
      <c r="B411" s="169"/>
      <c r="C411" s="54"/>
      <c r="D411" s="52"/>
      <c r="E411" s="171"/>
      <c r="F411" s="4"/>
      <c r="G411" s="4"/>
      <c r="J411" s="2"/>
      <c r="K411" s="2"/>
      <c r="L411" s="2"/>
      <c r="N411" s="15"/>
      <c r="O411" s="15"/>
    </row>
    <row r="412" spans="1:15" x14ac:dyDescent="0.3">
      <c r="A412" s="56"/>
      <c r="B412" s="169"/>
      <c r="C412" s="54"/>
      <c r="D412" s="52"/>
      <c r="E412" s="171"/>
      <c r="F412" s="4"/>
      <c r="G412" s="4"/>
      <c r="J412" s="2"/>
      <c r="K412" s="2"/>
      <c r="L412" s="2"/>
      <c r="N412" s="15"/>
      <c r="O412" s="15"/>
    </row>
    <row r="413" spans="1:15" x14ac:dyDescent="0.3">
      <c r="A413" s="56"/>
      <c r="B413" s="169"/>
      <c r="C413" s="54"/>
      <c r="D413" s="52"/>
      <c r="E413" s="171"/>
      <c r="F413" s="4"/>
      <c r="G413" s="4"/>
      <c r="J413" s="2"/>
      <c r="K413" s="2"/>
      <c r="L413" s="2"/>
      <c r="N413" s="15"/>
      <c r="O413" s="15"/>
    </row>
    <row r="414" spans="1:15" x14ac:dyDescent="0.3">
      <c r="A414" s="56"/>
      <c r="B414" s="169"/>
      <c r="C414" s="54"/>
      <c r="D414" s="52"/>
      <c r="E414" s="171"/>
      <c r="F414" s="4"/>
      <c r="G414" s="4"/>
      <c r="J414" s="2"/>
      <c r="K414" s="2"/>
      <c r="L414" s="2"/>
      <c r="N414" s="15"/>
      <c r="O414" s="15"/>
    </row>
    <row r="415" spans="1:15" x14ac:dyDescent="0.3">
      <c r="A415" s="56"/>
      <c r="B415" s="169"/>
      <c r="C415" s="54"/>
      <c r="D415" s="52"/>
      <c r="E415" s="171"/>
      <c r="F415" s="4"/>
      <c r="G415" s="4"/>
      <c r="J415" s="2"/>
      <c r="K415" s="2"/>
      <c r="L415" s="2"/>
      <c r="N415" s="15"/>
      <c r="O415" s="15"/>
    </row>
    <row r="416" spans="1:15" x14ac:dyDescent="0.3">
      <c r="A416" s="56"/>
      <c r="B416" s="169"/>
      <c r="C416" s="54"/>
      <c r="D416" s="52"/>
      <c r="E416" s="171"/>
      <c r="F416" s="4"/>
      <c r="G416" s="4"/>
      <c r="J416" s="2"/>
      <c r="K416" s="2"/>
      <c r="L416" s="2"/>
      <c r="N416" s="15"/>
      <c r="O416" s="15"/>
    </row>
    <row r="417" spans="1:15" x14ac:dyDescent="0.3">
      <c r="A417" s="56"/>
      <c r="B417" s="169"/>
      <c r="C417" s="54"/>
      <c r="D417" s="52"/>
      <c r="E417" s="171"/>
      <c r="F417" s="4"/>
      <c r="G417" s="4"/>
      <c r="J417" s="2"/>
      <c r="K417" s="2"/>
      <c r="L417" s="2"/>
      <c r="N417" s="15"/>
      <c r="O417" s="15"/>
    </row>
    <row r="418" spans="1:15" x14ac:dyDescent="0.3">
      <c r="A418" s="56"/>
      <c r="B418" s="169"/>
      <c r="C418" s="54"/>
      <c r="D418" s="52"/>
      <c r="E418" s="171"/>
      <c r="F418" s="4"/>
      <c r="G418" s="4"/>
      <c r="J418" s="2"/>
      <c r="K418" s="2"/>
      <c r="L418" s="2"/>
      <c r="N418" s="15"/>
      <c r="O418" s="15"/>
    </row>
    <row r="419" spans="1:15" x14ac:dyDescent="0.3">
      <c r="A419" s="56"/>
      <c r="B419" s="169"/>
      <c r="C419" s="54"/>
      <c r="D419" s="52"/>
      <c r="E419" s="171"/>
      <c r="F419" s="4"/>
      <c r="G419" s="4"/>
      <c r="J419" s="2"/>
      <c r="K419" s="2"/>
      <c r="L419" s="2"/>
      <c r="N419" s="15"/>
      <c r="O419" s="15"/>
    </row>
    <row r="420" spans="1:15" x14ac:dyDescent="0.3">
      <c r="A420" s="56"/>
      <c r="B420" s="169"/>
      <c r="C420" s="54"/>
      <c r="D420" s="52"/>
      <c r="E420" s="171"/>
      <c r="F420" s="4"/>
      <c r="G420" s="4"/>
      <c r="J420" s="2"/>
      <c r="K420" s="2"/>
      <c r="L420" s="2"/>
      <c r="N420" s="15"/>
      <c r="O420" s="15"/>
    </row>
    <row r="421" spans="1:15" x14ac:dyDescent="0.3">
      <c r="A421" s="56"/>
      <c r="B421" s="169"/>
      <c r="C421" s="54"/>
      <c r="D421" s="52"/>
      <c r="E421" s="171"/>
      <c r="F421" s="4"/>
      <c r="G421" s="4"/>
      <c r="J421" s="2"/>
      <c r="K421" s="2"/>
      <c r="L421" s="2"/>
      <c r="N421" s="15"/>
      <c r="O421" s="15"/>
    </row>
    <row r="422" spans="1:15" x14ac:dyDescent="0.3">
      <c r="A422" s="56"/>
      <c r="B422" s="169"/>
      <c r="C422" s="54"/>
      <c r="D422" s="52"/>
      <c r="E422" s="171"/>
      <c r="F422" s="4"/>
      <c r="G422" s="4"/>
      <c r="J422" s="2"/>
      <c r="K422" s="2"/>
      <c r="L422" s="2"/>
      <c r="N422" s="15"/>
      <c r="O422" s="15"/>
    </row>
    <row r="423" spans="1:15" x14ac:dyDescent="0.3">
      <c r="A423" s="56"/>
      <c r="B423" s="169"/>
      <c r="C423" s="54"/>
      <c r="D423" s="52"/>
      <c r="E423" s="171"/>
      <c r="F423" s="4"/>
      <c r="G423" s="4"/>
      <c r="J423" s="2"/>
      <c r="K423" s="2"/>
      <c r="L423" s="2"/>
      <c r="N423" s="15"/>
      <c r="O423" s="15"/>
    </row>
    <row r="424" spans="1:15" x14ac:dyDescent="0.3">
      <c r="A424" s="56"/>
      <c r="B424" s="169"/>
      <c r="C424" s="54"/>
      <c r="D424" s="52"/>
      <c r="E424" s="171"/>
      <c r="F424" s="4"/>
      <c r="G424" s="4"/>
      <c r="J424" s="2"/>
      <c r="K424" s="2"/>
      <c r="L424" s="2"/>
      <c r="N424" s="15"/>
      <c r="O424" s="15"/>
    </row>
    <row r="425" spans="1:15" x14ac:dyDescent="0.3">
      <c r="A425" s="56"/>
      <c r="B425" s="169"/>
      <c r="C425" s="54"/>
      <c r="D425" s="52"/>
      <c r="E425" s="171"/>
      <c r="F425" s="4"/>
      <c r="G425" s="4"/>
      <c r="J425" s="2"/>
      <c r="K425" s="2"/>
      <c r="L425" s="2"/>
      <c r="N425" s="15"/>
      <c r="O425" s="15"/>
    </row>
    <row r="426" spans="1:15" x14ac:dyDescent="0.3">
      <c r="A426" s="56"/>
      <c r="B426" s="169"/>
      <c r="C426" s="54"/>
      <c r="D426" s="52"/>
      <c r="E426" s="171"/>
      <c r="F426" s="4"/>
      <c r="G426" s="4"/>
      <c r="J426" s="2"/>
      <c r="K426" s="2"/>
      <c r="L426" s="2"/>
      <c r="N426" s="15"/>
      <c r="O426" s="15"/>
    </row>
    <row r="427" spans="1:15" x14ac:dyDescent="0.3">
      <c r="A427" s="56"/>
      <c r="B427" s="169"/>
      <c r="C427" s="54"/>
      <c r="D427" s="52"/>
      <c r="E427" s="171"/>
      <c r="F427" s="4"/>
      <c r="G427" s="4"/>
      <c r="J427" s="2"/>
      <c r="K427" s="2"/>
      <c r="L427" s="2"/>
      <c r="N427" s="15"/>
      <c r="O427" s="15"/>
    </row>
    <row r="428" spans="1:15" x14ac:dyDescent="0.3">
      <c r="A428" s="56"/>
      <c r="B428" s="169"/>
      <c r="C428" s="54"/>
      <c r="D428" s="52"/>
      <c r="E428" s="171"/>
      <c r="F428" s="4"/>
      <c r="G428" s="4"/>
      <c r="J428" s="2"/>
      <c r="K428" s="2"/>
      <c r="L428" s="2"/>
      <c r="N428" s="15"/>
      <c r="O428" s="15"/>
    </row>
    <row r="429" spans="1:15" x14ac:dyDescent="0.3">
      <c r="A429" s="56"/>
      <c r="B429" s="169"/>
      <c r="C429" s="54"/>
      <c r="D429" s="52"/>
      <c r="E429" s="171"/>
      <c r="F429" s="4"/>
      <c r="G429" s="4"/>
      <c r="J429" s="2"/>
      <c r="K429" s="2"/>
      <c r="L429" s="2"/>
      <c r="N429" s="15"/>
      <c r="O429" s="15"/>
    </row>
    <row r="430" spans="1:15" x14ac:dyDescent="0.3">
      <c r="A430" s="56"/>
      <c r="B430" s="169"/>
      <c r="C430" s="54"/>
      <c r="D430" s="52"/>
      <c r="E430" s="171"/>
      <c r="F430" s="4"/>
      <c r="G430" s="4"/>
      <c r="J430" s="2"/>
      <c r="K430" s="2"/>
      <c r="L430" s="2"/>
      <c r="N430" s="15"/>
      <c r="O430" s="15"/>
    </row>
    <row r="431" spans="1:15" x14ac:dyDescent="0.3">
      <c r="A431" s="56"/>
      <c r="B431" s="169"/>
      <c r="C431" s="54"/>
      <c r="D431" s="52"/>
      <c r="E431" s="171"/>
      <c r="F431" s="4"/>
      <c r="G431" s="4"/>
      <c r="J431" s="2"/>
      <c r="K431" s="2"/>
      <c r="L431" s="2"/>
      <c r="N431" s="15"/>
      <c r="O431" s="15"/>
    </row>
    <row r="432" spans="1:15" x14ac:dyDescent="0.3">
      <c r="A432" s="56"/>
      <c r="B432" s="169"/>
      <c r="C432" s="54"/>
      <c r="D432" s="52"/>
      <c r="E432" s="171"/>
      <c r="F432" s="4"/>
      <c r="G432" s="4"/>
      <c r="J432" s="2"/>
      <c r="K432" s="2"/>
      <c r="L432" s="2"/>
      <c r="N432" s="15"/>
      <c r="O432" s="15"/>
    </row>
    <row r="433" spans="1:15" x14ac:dyDescent="0.3">
      <c r="A433" s="56"/>
      <c r="B433" s="169"/>
      <c r="C433" s="54"/>
      <c r="D433" s="52"/>
      <c r="E433" s="171"/>
      <c r="F433" s="4"/>
      <c r="G433" s="4"/>
      <c r="J433" s="2"/>
      <c r="K433" s="2"/>
      <c r="L433" s="2"/>
      <c r="N433" s="15"/>
      <c r="O433" s="15"/>
    </row>
    <row r="434" spans="1:15" x14ac:dyDescent="0.3">
      <c r="A434" s="56"/>
      <c r="B434" s="169"/>
      <c r="C434" s="54"/>
      <c r="D434" s="52"/>
      <c r="E434" s="171"/>
      <c r="F434" s="4"/>
      <c r="G434" s="4"/>
      <c r="J434" s="2"/>
      <c r="K434" s="2"/>
      <c r="L434" s="2"/>
      <c r="N434" s="15"/>
      <c r="O434" s="15"/>
    </row>
    <row r="435" spans="1:15" x14ac:dyDescent="0.3">
      <c r="A435" s="56"/>
      <c r="B435" s="169"/>
      <c r="C435" s="54"/>
      <c r="D435" s="52"/>
      <c r="E435" s="171"/>
      <c r="F435" s="4"/>
      <c r="G435" s="4"/>
      <c r="J435" s="2"/>
      <c r="K435" s="2"/>
      <c r="L435" s="2"/>
      <c r="N435" s="15"/>
      <c r="O435" s="15"/>
    </row>
    <row r="436" spans="1:15" x14ac:dyDescent="0.3">
      <c r="A436" s="56"/>
      <c r="B436" s="169"/>
      <c r="C436" s="54"/>
      <c r="D436" s="52"/>
      <c r="E436" s="171"/>
      <c r="F436" s="4"/>
      <c r="G436" s="4"/>
      <c r="J436" s="2"/>
      <c r="K436" s="2"/>
      <c r="L436" s="2"/>
      <c r="N436" s="15"/>
      <c r="O436" s="15"/>
    </row>
    <row r="437" spans="1:15" x14ac:dyDescent="0.3">
      <c r="A437" s="56"/>
      <c r="B437" s="169"/>
      <c r="C437" s="54"/>
      <c r="D437" s="52"/>
      <c r="E437" s="171"/>
      <c r="F437" s="4"/>
      <c r="G437" s="4"/>
      <c r="J437" s="2"/>
      <c r="K437" s="2"/>
      <c r="L437" s="2"/>
      <c r="N437" s="15"/>
      <c r="O437" s="15"/>
    </row>
    <row r="438" spans="1:15" x14ac:dyDescent="0.3">
      <c r="A438" s="56"/>
      <c r="B438" s="169"/>
      <c r="C438" s="54"/>
      <c r="D438" s="52"/>
      <c r="E438" s="171"/>
      <c r="F438" s="4"/>
      <c r="G438" s="4"/>
      <c r="J438" s="2"/>
      <c r="K438" s="2"/>
      <c r="L438" s="2"/>
      <c r="N438" s="15"/>
      <c r="O438" s="15"/>
    </row>
    <row r="439" spans="1:15" x14ac:dyDescent="0.3">
      <c r="A439" s="56"/>
      <c r="B439" s="169"/>
      <c r="C439" s="54"/>
      <c r="D439" s="52"/>
      <c r="E439" s="171"/>
      <c r="F439" s="4"/>
      <c r="G439" s="4"/>
      <c r="J439" s="2"/>
      <c r="K439" s="2"/>
      <c r="L439" s="2"/>
      <c r="N439" s="15"/>
      <c r="O439" s="15"/>
    </row>
    <row r="440" spans="1:15" x14ac:dyDescent="0.3">
      <c r="A440" s="56"/>
      <c r="B440" s="169"/>
      <c r="C440" s="54"/>
      <c r="D440" s="52"/>
      <c r="E440" s="171"/>
      <c r="F440" s="4"/>
      <c r="G440" s="4"/>
      <c r="J440" s="2"/>
      <c r="K440" s="2"/>
      <c r="L440" s="2"/>
      <c r="N440" s="15"/>
      <c r="O440" s="15"/>
    </row>
    <row r="441" spans="1:15" x14ac:dyDescent="0.3">
      <c r="A441" s="56"/>
      <c r="B441" s="169"/>
      <c r="C441" s="54"/>
      <c r="D441" s="52"/>
      <c r="E441" s="171"/>
      <c r="F441" s="4"/>
      <c r="G441" s="4"/>
      <c r="J441" s="2"/>
      <c r="K441" s="2"/>
      <c r="L441" s="2"/>
      <c r="N441" s="15"/>
      <c r="O441" s="15"/>
    </row>
    <row r="442" spans="1:15" x14ac:dyDescent="0.3">
      <c r="A442" s="56"/>
      <c r="B442" s="169"/>
      <c r="C442" s="54"/>
      <c r="D442" s="52"/>
      <c r="E442" s="171"/>
      <c r="F442" s="4"/>
      <c r="G442" s="4"/>
      <c r="J442" s="2"/>
      <c r="K442" s="2"/>
      <c r="L442" s="2"/>
      <c r="N442" s="15"/>
      <c r="O442" s="15"/>
    </row>
    <row r="443" spans="1:15" x14ac:dyDescent="0.3">
      <c r="A443" s="56"/>
      <c r="B443" s="169"/>
      <c r="C443" s="54"/>
      <c r="D443" s="52"/>
      <c r="E443" s="171"/>
      <c r="F443" s="4"/>
      <c r="G443" s="4"/>
      <c r="J443" s="2"/>
      <c r="K443" s="2"/>
      <c r="L443" s="2"/>
      <c r="N443" s="15"/>
      <c r="O443" s="15"/>
    </row>
    <row r="444" spans="1:15" x14ac:dyDescent="0.3">
      <c r="A444" s="56"/>
      <c r="B444" s="169"/>
      <c r="C444" s="54"/>
      <c r="D444" s="52"/>
      <c r="E444" s="171"/>
      <c r="F444" s="4"/>
      <c r="G444" s="4"/>
      <c r="J444" s="2"/>
      <c r="K444" s="2"/>
      <c r="L444" s="2"/>
      <c r="N444" s="15"/>
      <c r="O444" s="15"/>
    </row>
    <row r="445" spans="1:15" x14ac:dyDescent="0.3">
      <c r="A445" s="56"/>
      <c r="B445" s="169"/>
      <c r="C445" s="54"/>
      <c r="D445" s="52"/>
      <c r="E445" s="171"/>
      <c r="F445" s="4"/>
      <c r="G445" s="4"/>
      <c r="J445" s="2"/>
      <c r="K445" s="2"/>
      <c r="L445" s="2"/>
      <c r="N445" s="15"/>
      <c r="O445" s="15"/>
    </row>
    <row r="446" spans="1:15" x14ac:dyDescent="0.3">
      <c r="A446" s="56"/>
      <c r="B446" s="169"/>
      <c r="C446" s="54"/>
      <c r="D446" s="52"/>
      <c r="E446" s="171"/>
      <c r="F446" s="4"/>
      <c r="G446" s="4"/>
      <c r="J446" s="2"/>
      <c r="K446" s="2"/>
      <c r="L446" s="2"/>
      <c r="N446" s="15"/>
      <c r="O446" s="15"/>
    </row>
    <row r="447" spans="1:15" x14ac:dyDescent="0.3">
      <c r="A447" s="56"/>
      <c r="B447" s="169"/>
      <c r="C447" s="54"/>
      <c r="D447" s="52"/>
      <c r="E447" s="171"/>
      <c r="F447" s="4"/>
      <c r="G447" s="4"/>
      <c r="J447" s="2"/>
      <c r="K447" s="2"/>
      <c r="L447" s="2"/>
      <c r="N447" s="15"/>
      <c r="O447" s="15"/>
    </row>
    <row r="448" spans="1:15" x14ac:dyDescent="0.3">
      <c r="A448" s="56"/>
      <c r="B448" s="169"/>
      <c r="C448" s="54"/>
      <c r="D448" s="52"/>
      <c r="E448" s="171"/>
      <c r="F448" s="4"/>
      <c r="G448" s="4"/>
      <c r="J448" s="2"/>
      <c r="K448" s="2"/>
      <c r="L448" s="2"/>
      <c r="N448" s="15"/>
      <c r="O448" s="15"/>
    </row>
    <row r="449" spans="1:15" x14ac:dyDescent="0.3">
      <c r="A449" s="56"/>
      <c r="B449" s="169"/>
      <c r="C449" s="54"/>
      <c r="D449" s="52"/>
      <c r="E449" s="171"/>
      <c r="F449" s="4"/>
      <c r="G449" s="4"/>
      <c r="J449" s="2"/>
      <c r="K449" s="2"/>
      <c r="L449" s="2"/>
      <c r="N449" s="15"/>
      <c r="O449" s="15"/>
    </row>
    <row r="450" spans="1:15" x14ac:dyDescent="0.3">
      <c r="A450" s="56"/>
      <c r="B450" s="169"/>
      <c r="C450" s="54"/>
      <c r="D450" s="52"/>
      <c r="E450" s="171"/>
      <c r="F450" s="4"/>
      <c r="G450" s="4"/>
      <c r="J450" s="2"/>
      <c r="K450" s="2"/>
      <c r="L450" s="2"/>
      <c r="N450" s="15"/>
      <c r="O450" s="15"/>
    </row>
    <row r="451" spans="1:15" x14ac:dyDescent="0.35">
      <c r="E451" s="171"/>
    </row>
    <row r="461" spans="1:15" x14ac:dyDescent="0.35">
      <c r="B461" s="1"/>
      <c r="J461" s="3"/>
      <c r="K461" s="3"/>
      <c r="L461" s="3"/>
      <c r="M461" s="3"/>
      <c r="N461" s="106"/>
      <c r="O461" s="166"/>
    </row>
    <row r="462" spans="1:15" x14ac:dyDescent="0.35">
      <c r="B462" s="1"/>
      <c r="J462" s="3"/>
      <c r="K462" s="3"/>
      <c r="L462" s="3"/>
      <c r="M462" s="3"/>
      <c r="N462" s="106"/>
      <c r="O462" s="166"/>
    </row>
    <row r="463" spans="1:15" x14ac:dyDescent="0.35">
      <c r="B463" s="1"/>
      <c r="J463" s="3"/>
      <c r="K463" s="3"/>
      <c r="L463" s="3"/>
      <c r="M463" s="3"/>
      <c r="N463" s="106"/>
      <c r="O463" s="166"/>
    </row>
    <row r="464" spans="1:15" x14ac:dyDescent="0.35">
      <c r="B464" s="1"/>
      <c r="J464" s="3"/>
      <c r="K464" s="3"/>
      <c r="L464" s="3"/>
      <c r="M464" s="3"/>
      <c r="N464" s="106"/>
      <c r="O464" s="166"/>
    </row>
    <row r="465" spans="2:15" x14ac:dyDescent="0.35">
      <c r="B465" s="1"/>
      <c r="J465" s="3"/>
      <c r="K465" s="3"/>
      <c r="L465" s="3"/>
      <c r="M465" s="3"/>
      <c r="N465" s="106"/>
      <c r="O465" s="166"/>
    </row>
    <row r="466" spans="2:15" x14ac:dyDescent="0.35">
      <c r="B466" s="1"/>
      <c r="J466" s="3"/>
      <c r="K466" s="3"/>
      <c r="L466" s="3"/>
      <c r="M466" s="3"/>
      <c r="N466" s="106"/>
      <c r="O466" s="166"/>
    </row>
    <row r="467" spans="2:15" x14ac:dyDescent="0.35">
      <c r="B467" s="1"/>
      <c r="J467" s="3"/>
      <c r="K467" s="3"/>
      <c r="L467" s="3"/>
      <c r="M467" s="3"/>
      <c r="N467" s="106"/>
      <c r="O467" s="166"/>
    </row>
    <row r="468" spans="2:15" x14ac:dyDescent="0.35">
      <c r="B468" s="1"/>
      <c r="J468" s="3"/>
      <c r="K468" s="3"/>
      <c r="L468" s="3"/>
      <c r="M468" s="3"/>
      <c r="N468" s="106"/>
      <c r="O468" s="166"/>
    </row>
    <row r="469" spans="2:15" x14ac:dyDescent="0.35">
      <c r="B469" s="1"/>
      <c r="J469" s="3"/>
      <c r="K469" s="3"/>
      <c r="L469" s="3"/>
      <c r="M469" s="3"/>
      <c r="N469" s="106"/>
      <c r="O469" s="166"/>
    </row>
    <row r="470" spans="2:15" x14ac:dyDescent="0.35">
      <c r="B470" s="1"/>
      <c r="J470" s="3"/>
      <c r="K470" s="3"/>
      <c r="L470" s="3"/>
      <c r="M470" s="3"/>
      <c r="N470" s="106"/>
      <c r="O470" s="166"/>
    </row>
    <row r="471" spans="2:15" x14ac:dyDescent="0.35">
      <c r="B471" s="1"/>
      <c r="J471" s="3"/>
      <c r="K471" s="3"/>
      <c r="L471" s="3"/>
      <c r="M471" s="3"/>
      <c r="N471" s="106"/>
      <c r="O471" s="166"/>
    </row>
    <row r="472" spans="2:15" x14ac:dyDescent="0.35">
      <c r="B472" s="1"/>
      <c r="J472" s="3"/>
      <c r="K472" s="3"/>
      <c r="L472" s="3"/>
      <c r="M472" s="3"/>
      <c r="N472" s="106"/>
      <c r="O472" s="166"/>
    </row>
    <row r="473" spans="2:15" x14ac:dyDescent="0.35">
      <c r="B473" s="1"/>
      <c r="J473" s="3"/>
      <c r="K473" s="3"/>
      <c r="L473" s="3"/>
      <c r="M473" s="3"/>
      <c r="N473" s="106"/>
      <c r="O473" s="166"/>
    </row>
    <row r="474" spans="2:15" x14ac:dyDescent="0.35">
      <c r="B474" s="1"/>
      <c r="J474" s="3"/>
      <c r="K474" s="3"/>
      <c r="L474" s="3"/>
      <c r="M474" s="3"/>
      <c r="N474" s="106"/>
      <c r="O474" s="166"/>
    </row>
    <row r="475" spans="2:15" x14ac:dyDescent="0.35">
      <c r="B475" s="1"/>
      <c r="J475" s="3"/>
      <c r="K475" s="3"/>
      <c r="L475" s="3"/>
      <c r="M475" s="3"/>
      <c r="N475" s="106"/>
      <c r="O475" s="166"/>
    </row>
    <row r="476" spans="2:15" x14ac:dyDescent="0.35">
      <c r="B476" s="1"/>
      <c r="J476" s="3"/>
      <c r="K476" s="3"/>
      <c r="L476" s="3"/>
      <c r="M476" s="3"/>
      <c r="N476" s="106"/>
      <c r="O476" s="166"/>
    </row>
  </sheetData>
  <autoFilter ref="A2:P392" xr:uid="{00000000-0009-0000-0000-000000000000}">
    <sortState xmlns:xlrd2="http://schemas.microsoft.com/office/spreadsheetml/2017/richdata2" ref="A3:P392">
      <sortCondition ref="A2:A392"/>
    </sortState>
  </autoFilter>
  <mergeCells count="1">
    <mergeCell ref="A1:P1"/>
  </mergeCells>
  <phoneticPr fontId="29" type="noConversion"/>
  <dataValidations disablePrompts="1" count="1">
    <dataValidation type="list" allowBlank="1" showErrorMessage="1" sqref="M3:M391" xr:uid="{00000000-0002-0000-0000-000000000000}">
      <formula1>DropVigencia</formula1>
    </dataValidation>
  </dataValidations>
  <hyperlinks>
    <hyperlink ref="E3" r:id="rId1" xr:uid="{91B11354-CADB-47D0-AABE-E3C87F5A1FCD}"/>
    <hyperlink ref="E4" r:id="rId2" xr:uid="{0C910A56-0530-423B-ACC8-4168106ACDEF}"/>
    <hyperlink ref="E5" r:id="rId3" xr:uid="{BD3EF3F5-81B3-46A4-8A7F-AC8D78B5B249}"/>
    <hyperlink ref="E6" r:id="rId4" xr:uid="{BDCBF014-0EE9-4739-B8E0-0431898396D2}"/>
    <hyperlink ref="E7" r:id="rId5" xr:uid="{231F9746-98B6-47EE-9CFE-9DC7B041A382}"/>
    <hyperlink ref="E8" r:id="rId6" xr:uid="{842DCA3E-3375-4B9E-A931-9AA3BB5F74B0}"/>
    <hyperlink ref="E9" r:id="rId7" xr:uid="{16D527DB-2C2D-49F0-AE85-B6F3AD5849AC}"/>
    <hyperlink ref="E10" r:id="rId8" xr:uid="{589465B9-E681-4117-95E2-A45321894358}"/>
    <hyperlink ref="E11" r:id="rId9" xr:uid="{68DF2C59-3D17-4BE7-B76C-627718357A65}"/>
    <hyperlink ref="E12" r:id="rId10" xr:uid="{931C67A0-87C9-4B93-854F-8F2227D9480D}"/>
    <hyperlink ref="E13" r:id="rId11" xr:uid="{19CFD72B-FF08-4B8D-BA42-1C4B8635E2C1}"/>
    <hyperlink ref="E14" r:id="rId12" xr:uid="{4C4710B7-80D1-4EC6-9404-4A39572303EC}"/>
    <hyperlink ref="E15" r:id="rId13" xr:uid="{B5AB10AE-2037-42FB-85B6-B73964A0C46C}"/>
    <hyperlink ref="E16" r:id="rId14" xr:uid="{C6923523-EFFF-4696-B552-DD5EB5E688C2}"/>
    <hyperlink ref="E17" r:id="rId15" xr:uid="{36A2E241-BE44-49CE-B5A1-6967329AF8E3}"/>
    <hyperlink ref="E18" r:id="rId16" xr:uid="{3B816DB9-1E52-409B-B55D-66DD3E2DB631}"/>
    <hyperlink ref="E19" r:id="rId17" xr:uid="{15216ED3-DFDE-4F3B-B175-7B41226D0711}"/>
    <hyperlink ref="E20" r:id="rId18" xr:uid="{5C47A73A-2755-4A58-B9E9-C3A13536E9A5}"/>
    <hyperlink ref="E21" r:id="rId19" xr:uid="{49EF5854-9E2E-4E30-A682-13E487A9361D}"/>
    <hyperlink ref="E22" r:id="rId20" xr:uid="{EB63FED8-BE70-4B75-AA2E-37081586F881}"/>
    <hyperlink ref="E23" r:id="rId21" xr:uid="{43DBD1A8-0C85-473F-8199-7F7BBC98CF95}"/>
    <hyperlink ref="E24" r:id="rId22" xr:uid="{1A16A535-7013-4554-8851-00E3AF17469A}"/>
    <hyperlink ref="E25" r:id="rId23" xr:uid="{DF2D344C-7F3D-4015-8B99-6748E68B9E9D}"/>
    <hyperlink ref="E26" r:id="rId24" xr:uid="{B6316A55-3C0B-4D70-8734-2B908B54F85B}"/>
    <hyperlink ref="E27" r:id="rId25" xr:uid="{25D69458-3C8E-4BEB-9739-10E3E2FA17DC}"/>
    <hyperlink ref="E28" r:id="rId26" xr:uid="{C4B5C362-C469-4939-9794-20ABBC44115A}"/>
    <hyperlink ref="E29" r:id="rId27" xr:uid="{C6707AC6-EA18-44B0-9795-DBD937FB411F}"/>
    <hyperlink ref="E30" r:id="rId28" xr:uid="{7F406C18-0CB0-430C-804C-54C8C746B638}"/>
    <hyperlink ref="E31" r:id="rId29" xr:uid="{613F2D2D-0117-4CB1-A789-AF64F5836A80}"/>
    <hyperlink ref="E32" r:id="rId30" xr:uid="{AE56B645-8776-4419-B315-6E68094D3C5F}"/>
    <hyperlink ref="E33" r:id="rId31" xr:uid="{A2BA5030-C7F8-4C3A-86A7-A49BDF387806}"/>
    <hyperlink ref="E35" r:id="rId32" xr:uid="{D31E776F-CD81-4395-8DAE-06DFD6033690}"/>
    <hyperlink ref="E36" r:id="rId33" xr:uid="{033DE3C1-0FA1-4B76-BC56-2C09CF8610F2}"/>
    <hyperlink ref="E37" r:id="rId34" xr:uid="{09596392-1569-4B97-823A-5C5E9735230B}"/>
    <hyperlink ref="E38" r:id="rId35" xr:uid="{08DA3F8C-3354-4248-BA16-18509F147023}"/>
    <hyperlink ref="E39" r:id="rId36" xr:uid="{66748902-EB7C-454A-B6B9-EB1287FC2683}"/>
    <hyperlink ref="E40" r:id="rId37" xr:uid="{CE14D4A3-3E17-4BC9-A67B-C94AB1890C12}"/>
    <hyperlink ref="E41" r:id="rId38" xr:uid="{C6D14BDC-7821-4200-9471-2D4C5A138DD1}"/>
    <hyperlink ref="E42" r:id="rId39" xr:uid="{AA9E40F3-29A3-435F-B30F-F753FD529422}"/>
    <hyperlink ref="E43" r:id="rId40" xr:uid="{112EB49B-B698-4C1E-9915-18248FA16088}"/>
    <hyperlink ref="E44" r:id="rId41" xr:uid="{054F961F-D186-4AA2-9DE8-3652BF509127}"/>
    <hyperlink ref="E45" r:id="rId42" xr:uid="{50ED9376-1908-4F6C-91C5-DC8510F80E42}"/>
    <hyperlink ref="E46" r:id="rId43" xr:uid="{FC854B99-52EC-45F0-AA62-2798F3AC180E}"/>
    <hyperlink ref="E47" r:id="rId44" xr:uid="{D4815B5A-C38F-424D-ABA3-837DFFE7556A}"/>
    <hyperlink ref="E48" r:id="rId45" xr:uid="{F5360606-2A7D-4FE3-916D-8680D1A061EC}"/>
    <hyperlink ref="E49" r:id="rId46" xr:uid="{32EB58F0-0903-4E66-9BF3-63CF37A22799}"/>
    <hyperlink ref="E50" r:id="rId47" xr:uid="{8FA6C46C-86AB-4D69-AA4C-20872B9CF457}"/>
    <hyperlink ref="E51" r:id="rId48" xr:uid="{6FD60A75-01F6-4E01-B459-429C2DF2F2D1}"/>
    <hyperlink ref="E52" r:id="rId49" xr:uid="{B5F3E648-3089-4352-A317-A4A6B2C474CE}"/>
    <hyperlink ref="E53" r:id="rId50" xr:uid="{C98F7FAE-65FB-43C2-A899-06EAE9662C14}"/>
    <hyperlink ref="E54" r:id="rId51" xr:uid="{BA0E2D42-0F00-4C60-838C-D3AA849EEABB}"/>
    <hyperlink ref="E55" r:id="rId52" xr:uid="{3F49A4B1-ADA9-4314-B304-5B959E443AAB}"/>
    <hyperlink ref="E56" r:id="rId53" xr:uid="{AE3132D1-018E-4250-A02F-F1F8B6E8E3C3}"/>
    <hyperlink ref="E57" r:id="rId54" xr:uid="{D465C83F-C37F-4D9F-B10D-31BB0F660830}"/>
    <hyperlink ref="E58" r:id="rId55" xr:uid="{C3251379-2609-468A-AE16-CAECF61F8669}"/>
    <hyperlink ref="E59" r:id="rId56" xr:uid="{BD340D21-BC75-4A4F-BDA5-BA5443A453F0}"/>
    <hyperlink ref="E60" r:id="rId57" xr:uid="{F1E3220F-2ACD-4AAF-B09F-7BF4306B8873}"/>
    <hyperlink ref="E62" r:id="rId58" xr:uid="{27AE6E29-11F7-4FB4-9003-3A2D9223F3BD}"/>
    <hyperlink ref="E63" r:id="rId59" xr:uid="{4B4351DA-A467-474D-B397-324FFB594B2E}"/>
    <hyperlink ref="E64" r:id="rId60" xr:uid="{1EC606A5-319E-428E-A99B-2905DC26105E}"/>
    <hyperlink ref="E65" r:id="rId61" xr:uid="{0EEA5BCB-3522-4414-B09E-16FED3352702}"/>
    <hyperlink ref="E66" r:id="rId62" xr:uid="{746FC5F3-7385-49AD-B3F5-D50CA9764786}"/>
    <hyperlink ref="E67" r:id="rId63" xr:uid="{5D7E487B-165C-4EED-92F9-D2522C1F074D}"/>
    <hyperlink ref="E68" r:id="rId64" xr:uid="{4B4521B8-FF17-4664-B01B-A30BC30FFA56}"/>
    <hyperlink ref="E69" r:id="rId65" xr:uid="{34471D72-2AC8-4863-91A6-72F7EAEE49A6}"/>
    <hyperlink ref="E70" r:id="rId66" xr:uid="{C257F78E-BE33-4DBD-8DE0-882091EFF0A7}"/>
    <hyperlink ref="E71" r:id="rId67" xr:uid="{5481450A-5B23-4645-AC64-685D4A269999}"/>
    <hyperlink ref="E72" r:id="rId68" xr:uid="{26EB8487-DEEE-4625-ADCB-C4D2262412D6}"/>
    <hyperlink ref="E73" r:id="rId69" xr:uid="{DC8FB3B8-4596-4C5B-BC25-88E4A24C07BE}"/>
    <hyperlink ref="E74" r:id="rId70" xr:uid="{46DBEDDD-8D04-440D-B582-62DBC5B7EA37}"/>
    <hyperlink ref="E75" r:id="rId71" xr:uid="{107E43E0-E076-451F-854A-9D7EBEC3E03F}"/>
    <hyperlink ref="E76" r:id="rId72" xr:uid="{E4A76657-3A55-4A4D-8888-5A2092032E74}"/>
    <hyperlink ref="E77" r:id="rId73" xr:uid="{980AE80E-653B-4B7A-BD07-73000521626A}"/>
    <hyperlink ref="E78" r:id="rId74" xr:uid="{A91A5616-AFD7-45A7-89AB-3D3E4B48F3C5}"/>
    <hyperlink ref="E79" r:id="rId75" xr:uid="{5843C24D-15D2-4D75-A4F1-A711A9A794E6}"/>
    <hyperlink ref="E80" r:id="rId76" xr:uid="{45122CE7-1FDA-49D1-97CE-26CAB2DC67A8}"/>
    <hyperlink ref="E81" r:id="rId77" xr:uid="{088175FC-2FB6-4FCE-B7F6-AF0F72A0E454}"/>
    <hyperlink ref="E82" r:id="rId78" xr:uid="{468DE92E-F9C3-43A1-AF2F-29DE8A0B21E5}"/>
    <hyperlink ref="E83" r:id="rId79" xr:uid="{585D7850-E9EB-4DF5-81DA-B65F3BE0E122}"/>
    <hyperlink ref="E84" r:id="rId80" xr:uid="{E22444EC-615F-4D06-813C-6725D966367D}"/>
    <hyperlink ref="E85" r:id="rId81" xr:uid="{9C11787B-B379-427C-B250-50B76C7DD76B}"/>
    <hyperlink ref="E86" r:id="rId82" xr:uid="{82F75F96-FA8E-4C5C-AFB2-2E35B0605BD2}"/>
    <hyperlink ref="E87" r:id="rId83" xr:uid="{D61E19DA-6D90-46FD-927A-AFE58E929FC1}"/>
    <hyperlink ref="E88" r:id="rId84" xr:uid="{125A4EB4-DD9D-47B6-BF64-F921C147FC2A}"/>
    <hyperlink ref="E89" r:id="rId85" xr:uid="{42F24824-133B-45C5-AAC4-91ECAD99606C}"/>
    <hyperlink ref="E90" r:id="rId86" xr:uid="{5BBF579B-F9EB-4B0A-BA35-C4EA81244737}"/>
    <hyperlink ref="E91" r:id="rId87" xr:uid="{4A214D7C-DC0D-4FAF-8ADA-15E3A2BE9842}"/>
    <hyperlink ref="E92" r:id="rId88" xr:uid="{646C5EC7-4224-4A8E-A111-BB3DADCB4E3F}"/>
    <hyperlink ref="E93" r:id="rId89" xr:uid="{6F21CD9E-6F28-40F8-B9C0-52F2C5923F86}"/>
    <hyperlink ref="E94" r:id="rId90" xr:uid="{B2A2BEBF-F63F-4CA2-853F-3E311DC2AD60}"/>
    <hyperlink ref="E95" r:id="rId91" xr:uid="{82B44D3E-C5D0-4745-ADC9-5B6E9825C87B}"/>
    <hyperlink ref="E96" r:id="rId92" xr:uid="{F04116AE-0DA8-47E0-99D2-B9359316ED37}"/>
    <hyperlink ref="E97" r:id="rId93" xr:uid="{0D9F7505-6EE1-4D2D-BDB0-8C544367D6AF}"/>
    <hyperlink ref="E98" r:id="rId94" xr:uid="{31563C34-7CC2-4543-A591-FB2187C75B8C}"/>
    <hyperlink ref="E99" r:id="rId95" xr:uid="{9B84C2C5-36F4-4B89-8129-126773F19398}"/>
    <hyperlink ref="E100" r:id="rId96" xr:uid="{6179ACED-B3AC-4872-940A-53DFE4267F13}"/>
    <hyperlink ref="E101" r:id="rId97" xr:uid="{26DCDA56-3FFE-4F0A-A5B0-982B6088ED5A}"/>
    <hyperlink ref="E102" r:id="rId98" xr:uid="{8808F8E6-4279-4F78-AE17-3CB261C5AD8D}"/>
    <hyperlink ref="E103" r:id="rId99" xr:uid="{377571DD-5C42-4F8C-894F-8152739B2ED1}"/>
    <hyperlink ref="E104" r:id="rId100" xr:uid="{B7277D88-45C1-454A-B2A2-2BFDD748A5F5}"/>
    <hyperlink ref="E105" r:id="rId101" xr:uid="{F9F92E86-BEEF-4E66-BA86-924CCE799737}"/>
    <hyperlink ref="E106" r:id="rId102" xr:uid="{0DB52EB0-D9AB-4467-A872-F6B24723E39F}"/>
    <hyperlink ref="E107" r:id="rId103" xr:uid="{45B062DC-8138-4F35-9754-D778600732B5}"/>
    <hyperlink ref="E108" r:id="rId104" xr:uid="{69578E7B-5A9F-46CA-A07E-A4247BDB9B1D}"/>
    <hyperlink ref="E109" r:id="rId105" xr:uid="{C7BAA572-16C7-430C-B70F-0CC44AC0EB48}"/>
    <hyperlink ref="E110" r:id="rId106" xr:uid="{5DF6768C-2A57-44FC-B334-905871311EE3}"/>
    <hyperlink ref="E111" r:id="rId107" xr:uid="{6915A596-8C2C-4F66-A08F-AB1A4B391C2C}"/>
    <hyperlink ref="E112" r:id="rId108" xr:uid="{C3D5D251-A102-41E0-895D-55DF8146A3C5}"/>
    <hyperlink ref="E113" r:id="rId109" xr:uid="{DBCF396A-39F6-4376-B46D-AFE61D9E4FF8}"/>
    <hyperlink ref="E114" r:id="rId110" xr:uid="{FD5A2841-F02F-45EC-A490-776FD6970F03}"/>
    <hyperlink ref="E115" r:id="rId111" xr:uid="{8F77AE40-F4E3-48F4-B656-1D5F88AED4D5}"/>
    <hyperlink ref="E116" r:id="rId112" xr:uid="{A81636FD-D3CC-4AFC-BE14-D7E9F9846B16}"/>
    <hyperlink ref="E117" r:id="rId113" xr:uid="{F6ED094C-0E50-4168-8213-C128F2CBFEEA}"/>
    <hyperlink ref="E118" r:id="rId114" xr:uid="{8116A984-4760-46DA-A421-4091344E63CD}"/>
    <hyperlink ref="E119" r:id="rId115" xr:uid="{2B96C97B-4216-4536-B04C-1E58AA70F14C}"/>
    <hyperlink ref="E120" r:id="rId116" xr:uid="{C79DC11B-BA51-4FE9-8505-2B8FE88207C4}"/>
    <hyperlink ref="E121" r:id="rId117" xr:uid="{D594C936-1593-465D-B21A-C21CA0091F30}"/>
    <hyperlink ref="E122" r:id="rId118" xr:uid="{96000D33-A90C-42D7-A9D9-01D48004ED41}"/>
    <hyperlink ref="E123" r:id="rId119" xr:uid="{98FC0983-4313-429C-A8B3-5AF1A3982182}"/>
    <hyperlink ref="E124" r:id="rId120" xr:uid="{93F122F0-EE30-4C57-8DA5-6461BCF8A8E1}"/>
    <hyperlink ref="E125" r:id="rId121" xr:uid="{6AAB485F-C816-4FFF-9408-66A477394ED3}"/>
    <hyperlink ref="E126" r:id="rId122" xr:uid="{3F36DBBC-D26B-4700-8DEE-D9FAAB0039D6}"/>
    <hyperlink ref="E127" r:id="rId123" xr:uid="{E36C8EAD-B2FD-4652-8897-3FA332086DC5}"/>
    <hyperlink ref="E128" r:id="rId124" xr:uid="{BE24EF33-F1BF-4275-B708-16752BB3C11F}"/>
    <hyperlink ref="E129" r:id="rId125" xr:uid="{66EC9985-E4B8-4BBC-8C9B-536154B89E32}"/>
    <hyperlink ref="E130" r:id="rId126" xr:uid="{DC30EFCB-26BA-4AF5-A788-EC43863AEF2A}"/>
    <hyperlink ref="E131" r:id="rId127" xr:uid="{AD4B61DB-2952-435D-A5DB-1E58A4C761C0}"/>
    <hyperlink ref="E132" r:id="rId128" xr:uid="{D912C139-135F-4A26-8F5B-F47B11431142}"/>
    <hyperlink ref="E133" r:id="rId129" xr:uid="{40223C2A-66AA-47AB-BE4D-4362AC7E9E20}"/>
    <hyperlink ref="E134" r:id="rId130" xr:uid="{53AB077E-C99C-4D3E-8AA6-71008576CDE9}"/>
    <hyperlink ref="E135" r:id="rId131" xr:uid="{5B822C90-5097-4E38-87E6-8A39DABE2D10}"/>
    <hyperlink ref="E136" r:id="rId132" xr:uid="{A24F3A3E-8BEE-4367-99A0-4DA96C63482C}"/>
    <hyperlink ref="E137" r:id="rId133" xr:uid="{D9E6F6C8-C286-4B4D-9A3A-FB8502E20C6F}"/>
    <hyperlink ref="E138" r:id="rId134" xr:uid="{D82C8F34-05D5-4BD4-B9DD-5F460B351E60}"/>
    <hyperlink ref="E139" r:id="rId135" xr:uid="{4536C575-9AB1-42CB-9714-4DB63BC0FBAF}"/>
    <hyperlink ref="E140" r:id="rId136" xr:uid="{6FB881DA-8690-4AB9-B245-C64061C566E3}"/>
    <hyperlink ref="E141" r:id="rId137" xr:uid="{CDC65554-E560-467A-9775-BA93F2AB7767}"/>
    <hyperlink ref="E142" r:id="rId138" xr:uid="{B8183664-4D7E-46BB-96A1-78F11BA0D32D}"/>
    <hyperlink ref="E143" r:id="rId139" xr:uid="{7F358B74-D8DD-41D8-89A6-02DF87C5841D}"/>
    <hyperlink ref="E144" r:id="rId140" xr:uid="{7E92219F-58EF-4D10-9933-5C9280632902}"/>
    <hyperlink ref="E145" r:id="rId141" xr:uid="{ED8B4C65-4550-4D52-B864-06910005F452}"/>
    <hyperlink ref="E146" r:id="rId142" xr:uid="{E7E355C1-011A-46F6-8EFE-D5D7195882C6}"/>
    <hyperlink ref="E147" r:id="rId143" xr:uid="{13F3219C-CD21-4A59-AA1B-ED9AF2484471}"/>
    <hyperlink ref="E148" r:id="rId144" xr:uid="{42A0D0CA-C6D2-4713-8437-F33B6BCA8462}"/>
    <hyperlink ref="E149" r:id="rId145" xr:uid="{481CBD36-EBD4-4175-8403-F0825F4B73F6}"/>
    <hyperlink ref="E150" r:id="rId146" xr:uid="{B4E9180F-E3CB-413A-9F63-A7F68C5930C2}"/>
    <hyperlink ref="E151" r:id="rId147" xr:uid="{211D78FF-525E-48BA-94A7-8CCAAE03E8BD}"/>
    <hyperlink ref="E152" r:id="rId148" xr:uid="{6BBDAB02-B167-4E31-AA4A-5E7B155EE20B}"/>
    <hyperlink ref="E153" r:id="rId149" xr:uid="{0831FD77-2D51-440B-9C9C-D3C06E695217}"/>
    <hyperlink ref="E155" r:id="rId150" xr:uid="{149DD584-6FF8-4FA3-9F7C-0960C595A815}"/>
    <hyperlink ref="E157" r:id="rId151" xr:uid="{1FE6D2A3-01B7-4829-BD41-725972E1AD0B}"/>
    <hyperlink ref="E158" r:id="rId152" xr:uid="{B5DEE49F-F09D-40BE-B9F7-9830AF9B699E}"/>
    <hyperlink ref="E159" r:id="rId153" xr:uid="{8DFD028D-D44B-489A-B86D-BB4982B7B269}"/>
    <hyperlink ref="E160" r:id="rId154" xr:uid="{51263274-49B5-4D0C-96CC-CBB0426A8C5C}"/>
    <hyperlink ref="E161" r:id="rId155" xr:uid="{30BE4C1F-DAB7-42EC-A23A-9833BB1CD67F}"/>
    <hyperlink ref="E162" r:id="rId156" xr:uid="{790CA636-D564-4999-A993-859135AAFCEF}"/>
    <hyperlink ref="E163" r:id="rId157" xr:uid="{E9150910-34F0-443C-8C7F-5A429AAA35E7}"/>
    <hyperlink ref="E164" r:id="rId158" xr:uid="{25070D46-51E4-4B7A-B5E6-4534F497CA48}"/>
    <hyperlink ref="E165" r:id="rId159" xr:uid="{0BE7AB82-B2C3-4A12-A81A-BA924D509C0E}"/>
    <hyperlink ref="E166" r:id="rId160" xr:uid="{135681A1-14F1-4C30-9847-E01E512BF5A5}"/>
    <hyperlink ref="E167" r:id="rId161" xr:uid="{E6FD7220-0D87-4371-8F07-4865C3D26B28}"/>
    <hyperlink ref="E168" r:id="rId162" xr:uid="{B9E6B0F5-082F-4C14-BC47-2106240D839D}"/>
    <hyperlink ref="E169" r:id="rId163" xr:uid="{4027AD10-52CA-4A7E-94EE-B8BF5461E454}"/>
    <hyperlink ref="E170" r:id="rId164" xr:uid="{C05823B9-322F-418F-B5C5-8740DA6CF8D7}"/>
    <hyperlink ref="E171" r:id="rId165" xr:uid="{4FA8A8AB-A9C1-4C20-8A2D-135AB05AEE28}"/>
    <hyperlink ref="E172" r:id="rId166" xr:uid="{4106F8ED-8132-4B3E-BC2E-F59ADCE2785C}"/>
    <hyperlink ref="E173" r:id="rId167" xr:uid="{AA7AEE70-F668-4C86-B6A3-CC2E9C46D37C}"/>
    <hyperlink ref="E174" r:id="rId168" xr:uid="{21D62E63-A6AE-40C5-82F4-4E7F97685779}"/>
    <hyperlink ref="E175" r:id="rId169" xr:uid="{D7BEAACC-A8BA-4788-AEA2-A39107BD182E}"/>
    <hyperlink ref="E176" r:id="rId170" xr:uid="{2B9FE0DF-DE43-4235-B13D-A3D8BEAC577C}"/>
    <hyperlink ref="E177" r:id="rId171" xr:uid="{DB4712EA-CFF8-40AF-92A0-F839096B7AAF}"/>
    <hyperlink ref="E178" r:id="rId172" xr:uid="{063B491F-ADEE-4931-9714-B0238D6D1DD3}"/>
    <hyperlink ref="E179" r:id="rId173" xr:uid="{C1F652C1-AD07-4A1C-86CF-C9FC7B0D530C}"/>
    <hyperlink ref="E180" r:id="rId174" xr:uid="{EC2CDA51-DFC3-43E0-9CF6-3E048BE2B18C}"/>
    <hyperlink ref="E181" r:id="rId175" xr:uid="{9C595C0B-FC6A-4695-A285-B29FF49D8CB5}"/>
    <hyperlink ref="E182" r:id="rId176" xr:uid="{30036270-72B8-4DC8-A0BC-305D0ACF8CFD}"/>
    <hyperlink ref="E183" r:id="rId177" xr:uid="{019EDF9E-66C7-4E37-89B9-4B115A7367B2}"/>
    <hyperlink ref="E184" r:id="rId178" xr:uid="{128BF7F4-D260-4BF6-A8EA-D8C368EB8850}"/>
    <hyperlink ref="E185" r:id="rId179" xr:uid="{129B4734-6675-4699-A84D-9F4DA51339C3}"/>
    <hyperlink ref="E186" r:id="rId180" xr:uid="{8E813AC4-7481-45B0-ADBE-7B4706CC2C8D}"/>
    <hyperlink ref="E187" r:id="rId181" xr:uid="{DCC4D574-FA27-4623-BDC7-904EE0D808D8}"/>
    <hyperlink ref="E188" r:id="rId182" xr:uid="{94019D89-BCD8-46A2-8D8B-61F38481537E}"/>
    <hyperlink ref="E189" r:id="rId183" xr:uid="{06E7C7D7-C1F0-4EF6-AE40-24B925F4F3B6}"/>
    <hyperlink ref="E190" r:id="rId184" xr:uid="{6AADD2DD-2833-4096-B5A6-BF49E26A3DF2}"/>
    <hyperlink ref="E191" r:id="rId185" xr:uid="{EFBF58D0-AB5C-4477-B36B-463237980B0A}"/>
    <hyperlink ref="E192" r:id="rId186" xr:uid="{CC5C37A3-DCB8-44D9-9670-BDB214FB628F}"/>
    <hyperlink ref="E193" r:id="rId187" xr:uid="{09ECD3EA-D359-49B2-8C75-6C5C75E05D12}"/>
    <hyperlink ref="E194" r:id="rId188" xr:uid="{8C35A6A4-4BF0-4E95-9D67-4942ED1FA4E1}"/>
    <hyperlink ref="E195" r:id="rId189" xr:uid="{6C956B7A-4FAB-46E2-B216-EBAFC212C7A5}"/>
    <hyperlink ref="E196" r:id="rId190" xr:uid="{4EFD157D-F51D-42F2-B5C5-0F96BE0CFDC3}"/>
    <hyperlink ref="E197" r:id="rId191" xr:uid="{9458EA55-C6F2-454D-90BB-31ADA0F2C164}"/>
    <hyperlink ref="E198" r:id="rId192" xr:uid="{1D2CD978-C8F3-4CF6-9FB2-05995EA2C876}"/>
    <hyperlink ref="E199" r:id="rId193" xr:uid="{53899C36-5869-4123-AE79-408665727A73}"/>
    <hyperlink ref="E200" r:id="rId194" xr:uid="{0FB3DCF9-DC10-4B3D-A675-5D6D30664B7B}"/>
    <hyperlink ref="E201" r:id="rId195" xr:uid="{D5DAE92A-46E1-4629-A06E-4DD55B2B3F05}"/>
    <hyperlink ref="E202" r:id="rId196" xr:uid="{D1462ED4-E7EB-4879-806F-C97A51E15681}"/>
    <hyperlink ref="E203" r:id="rId197" xr:uid="{B66391C3-AED2-4F15-BC49-C2E726FB5C9A}"/>
    <hyperlink ref="E204" r:id="rId198" xr:uid="{59D90412-FBCF-48C0-8FB5-6AAFE7D77637}"/>
    <hyperlink ref="E205" r:id="rId199" xr:uid="{EA2AD0AB-CA61-45A0-A524-D2FA5C3E8769}"/>
    <hyperlink ref="E206" r:id="rId200" xr:uid="{E2E00AFC-7A4D-441E-9466-250417C72121}"/>
    <hyperlink ref="E207" r:id="rId201" xr:uid="{6E8130F9-4DC7-4F67-920C-949B8C0B9B87}"/>
    <hyperlink ref="E208" r:id="rId202" xr:uid="{5DE74879-FBCE-4FF5-953C-69038818F115}"/>
    <hyperlink ref="E209" r:id="rId203" xr:uid="{84388FE5-20F7-4CB7-A625-36101B79DE19}"/>
    <hyperlink ref="E210" r:id="rId204" xr:uid="{018AB2CD-A773-4B91-A34D-44036501BAC6}"/>
    <hyperlink ref="E211" r:id="rId205" xr:uid="{601EA01C-212F-4284-B68B-499C47F400AF}"/>
    <hyperlink ref="E212" r:id="rId206" xr:uid="{4B4BEA1C-9D75-4CEF-A916-0FD279517496}"/>
    <hyperlink ref="E213" r:id="rId207" xr:uid="{01CC8AAA-5EE8-426C-B390-BFDCD6F24451}"/>
    <hyperlink ref="E214" r:id="rId208" xr:uid="{BD328799-E7F8-4470-B926-C7DF7C21A953}"/>
    <hyperlink ref="E215" r:id="rId209" xr:uid="{A2B00E8C-F8D0-4350-917B-3A69DE268BF3}"/>
    <hyperlink ref="E216" r:id="rId210" xr:uid="{6EE8051C-4E00-43A5-8A59-9C784145F3D5}"/>
    <hyperlink ref="E217" r:id="rId211" xr:uid="{A8F1EC55-1728-4318-9EE8-CB5BE9EE5E07}"/>
    <hyperlink ref="E218" r:id="rId212" xr:uid="{B582EDF7-5DE0-4887-AFAD-5DCC8A77B3E1}"/>
    <hyperlink ref="E219" r:id="rId213" xr:uid="{72446177-3D95-482B-938D-AB504115D1B5}"/>
    <hyperlink ref="E220" r:id="rId214" xr:uid="{E5063D30-E42B-4D33-8329-1C5D189F8CEB}"/>
    <hyperlink ref="E221" r:id="rId215" xr:uid="{2FBF9582-4813-4B78-AA0F-3F361D0EDB54}"/>
    <hyperlink ref="E222" r:id="rId216" xr:uid="{689F4DB4-E08B-4906-839F-57E49B354DE3}"/>
    <hyperlink ref="E223" r:id="rId217" xr:uid="{F136CD0E-4D48-48B8-BBD0-73A65BEDF0F8}"/>
    <hyperlink ref="E225" r:id="rId218" xr:uid="{A0992102-011C-4D8F-A79D-E83C397D9B49}"/>
    <hyperlink ref="E358" r:id="rId219" xr:uid="{D31BCD6E-FA78-4291-BC92-C7C052348D16}"/>
    <hyperlink ref="E224" r:id="rId220" xr:uid="{DC1CD668-347D-49E3-8973-A581BAC25165}"/>
    <hyperlink ref="E226" r:id="rId221" xr:uid="{A3BC806D-4D94-4A29-B3CE-22CC8ED75BB3}"/>
    <hyperlink ref="E227" r:id="rId222" xr:uid="{ECC904B1-4E87-426B-B584-EAF7E16393C5}"/>
    <hyperlink ref="E228" r:id="rId223" xr:uid="{FCBE425B-F13C-4797-AD54-13D5B9FDE91D}"/>
    <hyperlink ref="E229" r:id="rId224" xr:uid="{C06CEB81-8358-4E33-AEF2-BA84EF0F1599}"/>
    <hyperlink ref="E230" r:id="rId225" xr:uid="{34492FB9-2BDD-409F-A73B-76EAE42D64D3}"/>
    <hyperlink ref="E231" r:id="rId226" xr:uid="{30DE040A-1C55-438B-800E-63F52414A456}"/>
    <hyperlink ref="E232" r:id="rId227" xr:uid="{63B6E247-3E27-40FB-9AE5-63B8A803187A}"/>
    <hyperlink ref="E233" r:id="rId228" xr:uid="{EA67449D-185A-44B9-9381-15EE9F52E62F}"/>
    <hyperlink ref="E234" r:id="rId229" xr:uid="{888C6DD7-D506-4D72-833C-C2C0FA794D4C}"/>
    <hyperlink ref="E235" r:id="rId230" xr:uid="{0925DC8C-EB85-47C0-A1B0-425C07406C3E}"/>
    <hyperlink ref="E236" r:id="rId231" xr:uid="{6EE59ECE-C293-42B9-8460-04ED13C0A889}"/>
    <hyperlink ref="E237" r:id="rId232" xr:uid="{7753C9CB-BE68-4316-B9AD-FE5636565B67}"/>
    <hyperlink ref="E238" r:id="rId233" xr:uid="{EAC728AE-9770-46DD-A869-7ADA6606093D}"/>
    <hyperlink ref="E239" r:id="rId234" xr:uid="{297031D4-EF89-4816-8974-31CDCACEC48A}"/>
    <hyperlink ref="E240" r:id="rId235" xr:uid="{C69754C9-DEFC-40CE-A8A1-C2532C264D02}"/>
    <hyperlink ref="E241" r:id="rId236" xr:uid="{DD49B1D7-853F-4C45-A8CC-EE315FBD7244}"/>
    <hyperlink ref="E242" r:id="rId237" xr:uid="{455E42E0-414B-4772-A843-E3F184E32DAD}"/>
    <hyperlink ref="E243" r:id="rId238" xr:uid="{799A0EE2-E720-4380-B2B1-B8E893F5385E}"/>
    <hyperlink ref="E244" r:id="rId239" xr:uid="{2C9B1F39-70A5-4829-9BEE-794D901AC5A9}"/>
    <hyperlink ref="E245" r:id="rId240" xr:uid="{42EF286D-787D-4240-A838-531CB726351B}"/>
    <hyperlink ref="E246" r:id="rId241" xr:uid="{38DC15F5-8542-4CAD-B140-229728B80F20}"/>
    <hyperlink ref="E247" r:id="rId242" xr:uid="{EB3A1AC4-6C3A-4D68-A29E-59AB431273AE}"/>
    <hyperlink ref="E248" r:id="rId243" xr:uid="{68CB627F-BE39-44DD-B19D-49F17466A7E9}"/>
    <hyperlink ref="E249" r:id="rId244" xr:uid="{E4A7E0B7-81CC-4C97-AA6C-A4EDD1966578}"/>
    <hyperlink ref="E250" r:id="rId245" xr:uid="{EB2512BE-8BBB-4B81-A5C0-D27BA2F28329}"/>
    <hyperlink ref="E251" r:id="rId246" xr:uid="{64F767C3-34AA-4291-A32F-26836FE81696}"/>
    <hyperlink ref="E252" r:id="rId247" xr:uid="{52E04004-AB21-4015-9AFF-9E20018C1399}"/>
    <hyperlink ref="E253" r:id="rId248" xr:uid="{FC699FF1-19FD-4F19-94C4-C57BF6D976C0}"/>
    <hyperlink ref="E254" r:id="rId249" xr:uid="{7871CA13-8646-44A1-8325-427309DFFFD8}"/>
    <hyperlink ref="E255" r:id="rId250" xr:uid="{E1E1DE0F-858F-4D25-A10E-D9AEEA1057F5}"/>
    <hyperlink ref="E256" r:id="rId251" xr:uid="{0C02C8AD-8210-4BD6-B771-D8EB8C188C65}"/>
    <hyperlink ref="E257" r:id="rId252" xr:uid="{79A9FCD5-5F7A-45EA-B8AA-B662544E1865}"/>
    <hyperlink ref="E258" r:id="rId253" xr:uid="{9FCF152D-277F-4CC9-8CEE-852625C9A0BB}"/>
    <hyperlink ref="E259" r:id="rId254" xr:uid="{8E1A58C8-DEFE-406A-89E7-CF210ADF25C5}"/>
    <hyperlink ref="E260" r:id="rId255" xr:uid="{2F1F1926-108F-455E-A759-58BE6FEDE343}"/>
    <hyperlink ref="E261" r:id="rId256" xr:uid="{68F733A9-CF01-4F41-8564-5144B5F44EB0}"/>
    <hyperlink ref="E262" r:id="rId257" xr:uid="{F27A528D-67F0-48F6-B317-C3A43F58B0D2}"/>
    <hyperlink ref="E263" r:id="rId258" xr:uid="{43AADEA7-A95B-41A0-B481-EBB15D906A92}"/>
    <hyperlink ref="E264" r:id="rId259" xr:uid="{A82ABD6D-7071-452B-BA32-BEBB2BA98573}"/>
    <hyperlink ref="E265" r:id="rId260" xr:uid="{F83220D5-8358-4E75-9C6A-73ACB9E6EE8B}"/>
    <hyperlink ref="E266" r:id="rId261" xr:uid="{614FC03E-320F-487D-B390-AB21AFBDCF33}"/>
    <hyperlink ref="E267" r:id="rId262" xr:uid="{BB83F4B8-C1CD-48DC-93FE-13A5BA2D6090}"/>
    <hyperlink ref="E268" r:id="rId263" xr:uid="{64030FC6-EA40-4E42-B548-F4AF75E396A9}"/>
    <hyperlink ref="E269" r:id="rId264" xr:uid="{AB92BB85-A825-4869-A4BD-4A34B67BF7D5}"/>
    <hyperlink ref="E270" r:id="rId265" xr:uid="{C1564FB1-471F-4FC6-84C2-AB1DE1609D7B}"/>
    <hyperlink ref="E271" r:id="rId266" xr:uid="{486BD061-A1D2-4391-A551-D31721736313}"/>
    <hyperlink ref="E272" r:id="rId267" xr:uid="{975218D0-3B7F-49C6-AED0-DD62CC956DC7}"/>
    <hyperlink ref="E273" r:id="rId268" xr:uid="{D96A7527-A6A8-414D-A298-5E720423E028}"/>
    <hyperlink ref="E274" r:id="rId269" xr:uid="{2D5108A4-EE7F-42CF-981B-4CDFF1CD58D2}"/>
    <hyperlink ref="E275" r:id="rId270" xr:uid="{5D3880E6-55AB-4B51-B012-DB68A94AEB05}"/>
    <hyperlink ref="E276" r:id="rId271" xr:uid="{1A17CD70-0C4F-4E8E-805A-FC5753410944}"/>
    <hyperlink ref="E277" r:id="rId272" xr:uid="{F7DE07D0-676A-4E68-85DD-A4B31A19591D}"/>
    <hyperlink ref="E278" r:id="rId273" xr:uid="{163BC1A6-8775-4224-AB6B-F8A5FAAE17F7}"/>
    <hyperlink ref="E279" r:id="rId274" xr:uid="{6187B9D4-DCBC-43B1-996C-3AE5254AD559}"/>
    <hyperlink ref="E280" r:id="rId275" xr:uid="{88173CD3-15EC-4E1A-A37C-84C844172C75}"/>
    <hyperlink ref="E281" r:id="rId276" xr:uid="{D38B89AD-1A80-4F7E-81C6-CC40BE93455C}"/>
    <hyperlink ref="E282" r:id="rId277" xr:uid="{BAD4A867-F03F-4209-8C64-A7D8BB0FEA08}"/>
    <hyperlink ref="E283" r:id="rId278" xr:uid="{EBE1E521-1821-47D5-AA77-36457E967443}"/>
    <hyperlink ref="E284" r:id="rId279" xr:uid="{4495F431-0B3C-4C25-8AFC-750FE7B2B4BF}"/>
    <hyperlink ref="E285" r:id="rId280" xr:uid="{7E5099DA-DDC8-49C1-AA88-FDECE3EF9728}"/>
    <hyperlink ref="E286" r:id="rId281" xr:uid="{ECB23F0A-3418-43B2-AFC0-7BAB9831740C}"/>
    <hyperlink ref="E287" r:id="rId282" xr:uid="{8CEC338F-85D9-4645-AC98-A672F0E3F82D}"/>
    <hyperlink ref="E288" r:id="rId283" xr:uid="{E50D7DD1-4596-4B17-BF04-2122BFEC84C6}"/>
    <hyperlink ref="E289" r:id="rId284" xr:uid="{4DE583FD-C07A-4380-AF62-421E095796BD}"/>
    <hyperlink ref="E290" r:id="rId285" xr:uid="{D9D18FDE-9CBC-4EA1-AB05-3E447214B841}"/>
    <hyperlink ref="E291" r:id="rId286" xr:uid="{26AC0555-D6E1-4056-BA11-8A423C844A00}"/>
    <hyperlink ref="E292" r:id="rId287" xr:uid="{00CD4906-631F-4C0D-B57C-B805CCEA53A3}"/>
    <hyperlink ref="E293" r:id="rId288" xr:uid="{FAB7BCE7-7659-4C89-823B-540669E96238}"/>
    <hyperlink ref="E294" r:id="rId289" xr:uid="{7F01FA73-CD05-473E-8AF0-8693C817C63D}"/>
    <hyperlink ref="E295" r:id="rId290" xr:uid="{10CE0D88-9A10-4DF2-B4B2-E34BC10D3CF6}"/>
    <hyperlink ref="E296" r:id="rId291" xr:uid="{82094F9A-4F4A-49FA-885C-628D3958208C}"/>
    <hyperlink ref="E297" r:id="rId292" xr:uid="{22682037-C145-468E-9B57-033EEADBF0A0}"/>
    <hyperlink ref="E298" r:id="rId293" xr:uid="{DDFC6CD1-8CAA-48AF-87FA-609AC4DA3899}"/>
    <hyperlink ref="E299" r:id="rId294" xr:uid="{F1A14C37-220A-42E8-BB9F-AB73CF99F230}"/>
    <hyperlink ref="E300" r:id="rId295" xr:uid="{8F83872D-EFFC-48CF-9CCB-57B851138AC6}"/>
    <hyperlink ref="E301" r:id="rId296" xr:uid="{C643244D-FA83-4FC7-B0EF-EF04797D1BB0}"/>
    <hyperlink ref="E302" r:id="rId297" xr:uid="{25129F2C-0768-4580-A5E5-C1288897D642}"/>
    <hyperlink ref="E303" r:id="rId298" xr:uid="{709D2034-EABE-47FC-899B-CED75E338660}"/>
    <hyperlink ref="E304" r:id="rId299" xr:uid="{2D34D2A3-3CCA-4A11-8752-945ED8447ABB}"/>
    <hyperlink ref="E305" r:id="rId300" xr:uid="{185142C4-4EDD-4491-B5B6-0CAFD11292E9}"/>
    <hyperlink ref="E306" r:id="rId301" xr:uid="{A59096FD-C054-4D04-AAA5-9AF10D757236}"/>
    <hyperlink ref="E307" r:id="rId302" xr:uid="{25CBDE55-4A29-45BE-A676-51C4F879E544}"/>
    <hyperlink ref="E308" r:id="rId303" xr:uid="{4A1C0AA7-DC7F-4A6C-BAD5-23A5597736ED}"/>
    <hyperlink ref="E309" r:id="rId304" xr:uid="{89111C53-CE06-4DBC-B572-6E2B4B5587AD}"/>
    <hyperlink ref="E310" r:id="rId305" xr:uid="{CF39520A-926B-4231-9875-986ABE582987}"/>
    <hyperlink ref="E311" r:id="rId306" xr:uid="{485C6EB4-D8D0-4962-9D76-0FF812CBE02E}"/>
    <hyperlink ref="E312" r:id="rId307" xr:uid="{8411E93C-46CB-45D0-AB47-56CBB6439141}"/>
    <hyperlink ref="E313" r:id="rId308" xr:uid="{2FDA3317-28E0-4A7A-865E-D9F340ED313E}"/>
    <hyperlink ref="E314" r:id="rId309" xr:uid="{07E4068E-98E3-445D-9D75-1B57395A5CCB}"/>
    <hyperlink ref="E315" r:id="rId310" xr:uid="{61A31FD3-66F0-41D1-A476-88E1B7AB3A0A}"/>
    <hyperlink ref="E316" r:id="rId311" xr:uid="{494AB3BF-E89D-4993-BFFA-44DF8538E906}"/>
    <hyperlink ref="E317" r:id="rId312" xr:uid="{95427793-A0F7-491D-9039-2834458F1218}"/>
    <hyperlink ref="E318" r:id="rId313" xr:uid="{6F4238A9-DDDD-4EF5-A00C-78E8D5AF0B2E}"/>
    <hyperlink ref="E319" r:id="rId314" xr:uid="{DEB3469D-E6A8-4629-BD4D-971146532C2D}"/>
    <hyperlink ref="E320" r:id="rId315" xr:uid="{771E34A0-9C4E-4936-A91E-A8053F268154}"/>
    <hyperlink ref="E321" r:id="rId316" xr:uid="{B2617F0B-EDFF-423B-A316-28BCF1FA60B1}"/>
    <hyperlink ref="E322" r:id="rId317" xr:uid="{35CFB3BD-AB6A-4961-AD9E-D5E430653B90}"/>
    <hyperlink ref="E323" r:id="rId318" xr:uid="{62E3A9E1-6741-40C0-859B-AD1C3EA8DB1A}"/>
    <hyperlink ref="E324" r:id="rId319" xr:uid="{7C42EB56-0C82-4D37-A4DE-0720DB6834A7}"/>
    <hyperlink ref="E325" r:id="rId320" xr:uid="{1466919C-DEE2-4163-AEAD-1C9F7F792704}"/>
    <hyperlink ref="E326" r:id="rId321" xr:uid="{5EA68BAF-AD81-4B0D-8BEF-B1016CEE43CF}"/>
    <hyperlink ref="E327" r:id="rId322" xr:uid="{5FF86038-BFEF-4EA8-B15C-173D3CB9578E}"/>
    <hyperlink ref="E328" r:id="rId323" xr:uid="{58A5F948-99B2-42BA-BBF6-35B37177F03F}"/>
    <hyperlink ref="E329" r:id="rId324" display="2021-01-VAR" xr:uid="{CE60D6B8-322E-4C63-8F8E-D6FC3DF4B707}"/>
    <hyperlink ref="E330" r:id="rId325" display="2021-02-VAR" xr:uid="{B9E6D7C7-F34E-4476-BCD4-37F9193EE6B7}"/>
    <hyperlink ref="E331" r:id="rId326" xr:uid="{F84FDCE3-2BDA-4838-B63B-E7BDC74C3C47}"/>
    <hyperlink ref="E332" r:id="rId327" display="2021-04-VAR" xr:uid="{216CE059-5464-42AC-91ED-9871C22B4146}"/>
    <hyperlink ref="E333" r:id="rId328" xr:uid="{7F3272BF-9958-4DA9-81CB-0C45CAB9CB64}"/>
    <hyperlink ref="E334" r:id="rId329" xr:uid="{EE6001D3-FEB1-4B73-BB65-ED28499B9DA1}"/>
    <hyperlink ref="E335" r:id="rId330" xr:uid="{A4A039D7-B1AE-40B0-AA9A-DE55EC48EAC0}"/>
    <hyperlink ref="E336" r:id="rId331" xr:uid="{04977D03-8037-49FD-8DE2-A8F41389FB39}"/>
    <hyperlink ref="E337" r:id="rId332" xr:uid="{579AAFE7-5811-4EBF-AC35-939FA5150587}"/>
    <hyperlink ref="E338" r:id="rId333" xr:uid="{D5E5D00B-555C-4603-A0FB-32847F630DB1}"/>
    <hyperlink ref="E339" r:id="rId334" xr:uid="{FAD5D84B-FF9F-4F37-AAF2-7B800D2317F7}"/>
    <hyperlink ref="E340" r:id="rId335" xr:uid="{F31413D1-FC52-47CC-8071-1A89005EB788}"/>
    <hyperlink ref="E341" r:id="rId336" xr:uid="{CB375F1B-8461-44A4-AE47-D8364B0DB6F7}"/>
    <hyperlink ref="E342" r:id="rId337" display="2021-14-VAR" xr:uid="{30803259-7555-4DBB-94DC-BD1FD984932A}"/>
    <hyperlink ref="E343" r:id="rId338" xr:uid="{35119D5D-C8FE-4BE0-BA19-08BBDD2F55D6}"/>
    <hyperlink ref="E344" r:id="rId339" xr:uid="{D6EB1E5D-6DED-4799-B749-20B499A00A4D}"/>
    <hyperlink ref="E345" r:id="rId340" display="2021-17-VAR" xr:uid="{E616A838-1CCA-4CA7-8E22-B27B66E03E56}"/>
    <hyperlink ref="E346" r:id="rId341" display="2021-18-VAR" xr:uid="{2230181A-30D9-4BA1-AD54-E83461965875}"/>
    <hyperlink ref="E347" r:id="rId342" xr:uid="{76092CC6-A2AE-4D04-94A8-C247076F254A}"/>
    <hyperlink ref="E348" r:id="rId343" xr:uid="{F551544A-48CC-4B66-82BF-176CDCDE7F3F}"/>
    <hyperlink ref="E349" r:id="rId344" xr:uid="{EA040D03-E819-46DC-B6A1-7C5477AE1ADF}"/>
    <hyperlink ref="E350" r:id="rId345" xr:uid="{737AEEEA-28CD-4B9A-BF9C-43B472C66B4C}"/>
    <hyperlink ref="E351" r:id="rId346" xr:uid="{DA9C1EEB-0EB8-4268-ABD4-2AC8B13EB44F}"/>
    <hyperlink ref="E352" r:id="rId347" xr:uid="{DE40A74D-8F80-4F1A-95FB-82DD3AFC3B92}"/>
    <hyperlink ref="E353" r:id="rId348" xr:uid="{DC8CA803-C5C3-4767-97D8-1ACF5DFA9B8A}"/>
    <hyperlink ref="E354" r:id="rId349" xr:uid="{81A515D4-5B62-4930-A2DA-728DA8CAE9E9}"/>
    <hyperlink ref="E355" r:id="rId350" xr:uid="{81D69794-A501-4DC1-B808-A39BA44B2095}"/>
    <hyperlink ref="E356" r:id="rId351" display="2021-14-ES" xr:uid="{940F3AA7-FFF7-4975-8460-02108EA44294}"/>
    <hyperlink ref="E357" r:id="rId352" xr:uid="{8AC8F8CB-3643-4790-8A2B-28A63C4BDB6D}"/>
    <hyperlink ref="E359" r:id="rId353" xr:uid="{2E769D95-AFAE-4D19-8630-78308BDDDC96}"/>
    <hyperlink ref="E360" r:id="rId354" xr:uid="{1685F676-BF14-4365-BD2F-089E4C7D3A4D}"/>
    <hyperlink ref="E361" r:id="rId355" xr:uid="{85FF3F4D-BC46-4067-8DAB-14F0A33EA8B7}"/>
    <hyperlink ref="E362" r:id="rId356" xr:uid="{9866C1F1-65B6-4D33-8CC2-C1B69FB20C90}"/>
    <hyperlink ref="E363" r:id="rId357" xr:uid="{6C105F6B-ECBB-4CB8-BABE-D34FD1883B1A}"/>
    <hyperlink ref="E364" r:id="rId358" xr:uid="{539762E9-C6B7-45DF-A4F8-D0815D46DC47}"/>
    <hyperlink ref="E365" r:id="rId359" xr:uid="{3BA89202-A690-420F-A3DD-A974DE5B9397}"/>
    <hyperlink ref="E366" r:id="rId360" xr:uid="{D238D86D-9DFE-475D-8C3F-326941A91C0B}"/>
    <hyperlink ref="P274" r:id="rId361" xr:uid="{68E22AA6-66BE-4562-8E0D-1F62CEF46454}"/>
    <hyperlink ref="P64" r:id="rId362" xr:uid="{5A0AAD3E-358C-47FA-853B-784617071CA5}"/>
    <hyperlink ref="P65" r:id="rId363" xr:uid="{35C68BAD-7C72-41B9-95E5-9F2EA1F5E524}"/>
    <hyperlink ref="P98" r:id="rId364" xr:uid="{A64E52A2-0A08-4DEE-809F-5F30AD43AF89}"/>
    <hyperlink ref="P101" r:id="rId365" xr:uid="{290CE935-9D8A-4E4F-A3E4-4D118F56C2ED}"/>
    <hyperlink ref="P104" r:id="rId366" xr:uid="{D50A16B3-D357-4588-AFB4-E46DDC0308AA}"/>
    <hyperlink ref="P108" r:id="rId367" xr:uid="{F8C14B10-15F4-4111-9081-9D1E120D4B83}"/>
    <hyperlink ref="P109" r:id="rId368" xr:uid="{CFCA5A00-2E7F-4569-926F-2E37C2809FC5}"/>
    <hyperlink ref="P111" r:id="rId369" xr:uid="{F3C92117-C86C-4427-9618-7CDC46A6F8E2}"/>
    <hyperlink ref="P113" r:id="rId370" xr:uid="{AD5F8245-CD99-48F3-BA7E-BEF2ACD900C6}"/>
    <hyperlink ref="P119" r:id="rId371" xr:uid="{4BD12114-0B91-4B34-B34D-765EB24B9456}"/>
    <hyperlink ref="P123" r:id="rId372" xr:uid="{2C12C2C8-2EB5-4C5A-81D7-B9FEB2D469CD}"/>
    <hyperlink ref="P126" r:id="rId373" xr:uid="{B11DBB87-5372-4346-BA1A-46A6481341F4}"/>
    <hyperlink ref="P128" r:id="rId374" xr:uid="{C974FBF3-2DD5-4740-8429-3131A332E991}"/>
    <hyperlink ref="P133" r:id="rId375" xr:uid="{CDB3B481-E33B-403D-8DED-43086DB7BA2A}"/>
    <hyperlink ref="P136" r:id="rId376" xr:uid="{889F8DD9-B218-46CA-89C1-0CC49F4BA3C8}"/>
    <hyperlink ref="P141" r:id="rId377" xr:uid="{BE385902-A118-47C3-BED9-9BA7D5483E0D}"/>
    <hyperlink ref="P144" r:id="rId378" xr:uid="{B58B31BD-1166-4614-966E-DF96632C9978}"/>
    <hyperlink ref="P150" r:id="rId379" xr:uid="{24AA2557-A146-4EFD-886C-2AF1861440C3}"/>
    <hyperlink ref="P154" r:id="rId380" xr:uid="{77C32C97-0487-436F-944F-A3B7B6DF3DB3}"/>
    <hyperlink ref="P155" r:id="rId381" xr:uid="{1E9CF404-391E-4B20-98D6-D1636B46C982}"/>
    <hyperlink ref="P156" r:id="rId382" xr:uid="{09DFFA26-363C-43BD-BC89-71D88C9BD97D}"/>
    <hyperlink ref="P157" r:id="rId383" xr:uid="{E9AFF58D-2698-4272-A6AA-84D9B2E0F776}"/>
    <hyperlink ref="P161" r:id="rId384" xr:uid="{48925C93-01F5-45A3-999D-3C5A380504BA}"/>
    <hyperlink ref="P170" r:id="rId385" xr:uid="{0CDEE89B-9219-4C23-8208-20836040A7CC}"/>
    <hyperlink ref="P174" r:id="rId386" xr:uid="{4C4920C9-BDAC-4352-B0B2-D8A043A8BA23}"/>
    <hyperlink ref="P175" r:id="rId387" xr:uid="{8CE4033E-991E-4D0D-AC61-FBDF763E2AB4}"/>
    <hyperlink ref="P181" r:id="rId388" xr:uid="{F11B4408-EF0E-4D3C-9885-62E0809E71FC}"/>
    <hyperlink ref="P185" r:id="rId389" xr:uid="{EB94417B-50C0-4BD2-83ED-B9DED978EEEC}"/>
    <hyperlink ref="P194" r:id="rId390" xr:uid="{7293129B-9EFB-4D9C-BFB3-876984D95AFA}"/>
    <hyperlink ref="P195" r:id="rId391" xr:uid="{FFACA85F-616E-4B06-88A2-EEDA8A4C8A42}"/>
    <hyperlink ref="P196" r:id="rId392" xr:uid="{3A8AB198-F69C-41AE-9661-27904CB17292}"/>
    <hyperlink ref="P200" r:id="rId393" xr:uid="{1B61C11C-9ABB-401C-8DBD-E8F956ED2F3F}"/>
    <hyperlink ref="P201" r:id="rId394" xr:uid="{5FE72128-78D6-4C67-B1D1-F76E0C6982A0}"/>
    <hyperlink ref="P202" r:id="rId395" xr:uid="{8C526668-C7A7-4CD8-8AF8-1F00ACB56D4F}"/>
    <hyperlink ref="P204" r:id="rId396" xr:uid="{EA65A997-AA9D-4977-A066-2D6B2F9A6AC0}"/>
    <hyperlink ref="P205" r:id="rId397" xr:uid="{D7D4F9C3-2C18-4C2B-9BC0-50B475C2EA69}"/>
    <hyperlink ref="P207" r:id="rId398" xr:uid="{173805B2-09D3-4710-97F2-618E32B6D214}"/>
    <hyperlink ref="P208" r:id="rId399" xr:uid="{8E24AD23-87A4-4C13-B326-7E549FF85CB6}"/>
    <hyperlink ref="P211" r:id="rId400" xr:uid="{641EA4CF-4962-4BD5-B1FB-D2A14C7AA0BF}"/>
    <hyperlink ref="P215" r:id="rId401" xr:uid="{E6B842B5-2481-46ED-80E0-1C825B80EA65}"/>
    <hyperlink ref="P225" r:id="rId402" xr:uid="{883511BD-4F3B-42A3-AED5-677936D2565B}"/>
    <hyperlink ref="P228" r:id="rId403" xr:uid="{A5F2E3A9-FBA3-45C6-8B46-625C3683AE0F}"/>
    <hyperlink ref="P229" r:id="rId404" xr:uid="{3AA41A7A-6BC4-43B5-8788-D8F757B8F70C}"/>
    <hyperlink ref="P230" r:id="rId405" xr:uid="{C5C6C990-C872-41CE-96FA-EB1FED1DE955}"/>
    <hyperlink ref="P231" r:id="rId406" xr:uid="{D259F789-8B5E-4F96-B075-BF38743A2788}"/>
    <hyperlink ref="P233" r:id="rId407" xr:uid="{6481A8EC-4A6C-4D3F-881F-F661513470CC}"/>
    <hyperlink ref="P234" r:id="rId408" xr:uid="{9A69F038-7D0E-4F55-BAF2-5E5BB78DECB7}"/>
    <hyperlink ref="P235" r:id="rId409" xr:uid="{22D7D664-AEF8-4EA0-9DAB-E62C86E70826}"/>
    <hyperlink ref="P237" r:id="rId410" xr:uid="{FD6C79BE-D4D1-4027-A2BF-43E5E21DFE88}"/>
    <hyperlink ref="P238" r:id="rId411" xr:uid="{D37CD7D1-95FA-4DB3-9BDC-8EB694F19B08}"/>
    <hyperlink ref="P241" r:id="rId412" xr:uid="{7570D1F5-7CDB-4291-9592-947EEEFF7496}"/>
    <hyperlink ref="P244" r:id="rId413" xr:uid="{6BAD399B-3EA2-43EC-8402-B3294AE593FB}"/>
    <hyperlink ref="P245" r:id="rId414" xr:uid="{F8308F35-3447-4A96-A587-4B7E75E8E0AE}"/>
    <hyperlink ref="P246" r:id="rId415" xr:uid="{E8188EEE-BC46-4B5E-9975-AD7FF253D364}"/>
    <hyperlink ref="P247" r:id="rId416" xr:uid="{9537BA4B-A6D0-4170-8FB3-B7C0CAFE3D68}"/>
    <hyperlink ref="P250" r:id="rId417" xr:uid="{9C2FD9C7-B1C1-4826-8941-20C8A79EAADC}"/>
    <hyperlink ref="P251" r:id="rId418" xr:uid="{712C5213-48E5-46C2-B259-34616B38985F}"/>
    <hyperlink ref="P256" r:id="rId419" xr:uid="{8AAF9F24-6963-4A26-BCEB-1F1BF59B7E58}"/>
    <hyperlink ref="P257" r:id="rId420" xr:uid="{19F76E70-812E-495A-AB60-97305A961D60}"/>
    <hyperlink ref="P261" r:id="rId421" xr:uid="{6E8BD71E-1788-4FC8-8978-8AF11746B61D}"/>
    <hyperlink ref="P263" r:id="rId422" xr:uid="{D68A3EFA-ACE2-4CC5-A35F-62709AB94C41}"/>
    <hyperlink ref="P266" r:id="rId423" xr:uid="{238B290A-37A2-408F-9A41-BA5419A4B931}"/>
    <hyperlink ref="P267" r:id="rId424" xr:uid="{C3E61CF2-D12A-4BC0-8862-717A1119A109}"/>
    <hyperlink ref="P268" r:id="rId425" xr:uid="{52DDC278-50B9-45D6-BE28-2349009B9352}"/>
    <hyperlink ref="P270" r:id="rId426" xr:uid="{71F42D7F-B779-4BBA-B8F5-92D6AEDD00AD}"/>
    <hyperlink ref="P271" r:id="rId427" xr:uid="{B89A91D5-0C14-4AAF-9BEB-8163153C42F4}"/>
    <hyperlink ref="P272" r:id="rId428" xr:uid="{8FE0C611-4E96-4FF7-AFB8-0F474B2CDC2C}"/>
    <hyperlink ref="P273" r:id="rId429" xr:uid="{0C97EC9D-6E54-4EA2-8408-9ED425542024}"/>
    <hyperlink ref="P275" r:id="rId430" xr:uid="{AB869B8E-E75F-4F78-B12E-2DCAE00FD9CB}"/>
    <hyperlink ref="P277" r:id="rId431" xr:uid="{5754D99A-5FD0-4C19-BFC0-A3D0CD2F3979}"/>
    <hyperlink ref="P281" r:id="rId432" xr:uid="{A184A0A6-FCE7-4688-9962-8180BA92997F}"/>
    <hyperlink ref="P282" r:id="rId433" xr:uid="{B8BE1ADE-7F91-4A44-9F17-16001A674308}"/>
    <hyperlink ref="P285" r:id="rId434" xr:uid="{4E96ECB7-EBFF-4390-8AD9-0E337DC01792}"/>
    <hyperlink ref="P286" r:id="rId435" xr:uid="{2824F8C8-0872-4C93-A64A-3B014440F6D1}"/>
    <hyperlink ref="P287" r:id="rId436" xr:uid="{A72668B8-5971-4DA2-A96B-E9974808D6DE}"/>
    <hyperlink ref="P289" r:id="rId437" xr:uid="{4BC230AA-253A-46C8-A8A0-100FDA09E341}"/>
    <hyperlink ref="P290" r:id="rId438" xr:uid="{087D5701-6674-471F-AB37-2542AF251200}"/>
    <hyperlink ref="P292" r:id="rId439" xr:uid="{4AC0BA6F-9F50-4B37-8F69-91BE821A9D74}"/>
    <hyperlink ref="P294" r:id="rId440" xr:uid="{5FBF90B2-2122-4DD3-870B-304CC6DF86E9}"/>
    <hyperlink ref="P295" r:id="rId441" xr:uid="{53FF9ECD-1204-4823-8FB9-328D70016D84}"/>
    <hyperlink ref="P297" r:id="rId442" xr:uid="{D26F56BB-EAD5-483A-9216-0161AD76E69C}"/>
    <hyperlink ref="P298" r:id="rId443" xr:uid="{41A9D7E9-5AB7-4D16-97BA-510A1A759297}"/>
    <hyperlink ref="P301" r:id="rId444" xr:uid="{074A41FB-5417-4A6D-B425-18FD896EE2E8}"/>
    <hyperlink ref="P302" r:id="rId445" xr:uid="{5DBFEAFB-859E-44EB-B643-4BE814F9D92C}"/>
    <hyperlink ref="P303" r:id="rId446" xr:uid="{A42296AB-D094-4AAD-8185-DFB5C1E61357}"/>
    <hyperlink ref="P308" r:id="rId447" xr:uid="{5F971D31-1801-4585-A0A7-E812EA902020}"/>
    <hyperlink ref="P312" r:id="rId448" xr:uid="{9ECC386C-C47A-452B-B6BA-D9508DAB0DC0}"/>
    <hyperlink ref="P314" r:id="rId449" xr:uid="{AA65E84B-767C-44CE-B67A-2DA986083BBF}"/>
    <hyperlink ref="P320" r:id="rId450" xr:uid="{019E6417-D6E3-47BA-8B10-716B893E02D4}"/>
    <hyperlink ref="P324" r:id="rId451" xr:uid="{FAB0FFA7-9BBF-4BE0-8677-2C398C46CF5F}"/>
    <hyperlink ref="P329" r:id="rId452" xr:uid="{21C8DBD9-BCB3-438B-8D08-6EFEA0A1AD46}"/>
    <hyperlink ref="P345" r:id="rId453" xr:uid="{1205E7C9-159A-4927-B010-5AE294244E6A}"/>
    <hyperlink ref="P346" r:id="rId454" xr:uid="{976D98A1-E4B8-427D-994B-AB3990D1886B}"/>
    <hyperlink ref="P332" r:id="rId455" xr:uid="{6973422E-9D4A-4E98-85E8-71967CC9EAF9}"/>
    <hyperlink ref="P335" r:id="rId456" xr:uid="{B4A54963-0A1B-4D12-8751-77DC9690D1DC}"/>
    <hyperlink ref="P336" r:id="rId457" xr:uid="{66F208F5-103F-431A-8802-A386429F8471}"/>
    <hyperlink ref="P337" r:id="rId458" xr:uid="{26A397F0-E958-479F-AC31-B7B274C0CA88}"/>
    <hyperlink ref="P340" r:id="rId459" xr:uid="{E32D800F-72A5-4717-ABF6-793188B16263}"/>
    <hyperlink ref="P342" r:id="rId460" xr:uid="{72E39EFC-ACBD-44FE-A48D-297A12EFA3C8}"/>
    <hyperlink ref="P349" r:id="rId461" xr:uid="{63B3A877-2249-47D4-AE6E-AAA2640FD23A}"/>
    <hyperlink ref="P300" r:id="rId462" xr:uid="{79AD6BA4-8306-4150-A50A-4A0004DA0A32}"/>
    <hyperlink ref="E156" r:id="rId463" xr:uid="{02CD1BF7-15C7-4F05-9FA2-45F07DA7A9F2}"/>
    <hyperlink ref="P146" r:id="rId464" xr:uid="{215D89F5-93FE-4353-908C-D41737D1D203}"/>
    <hyperlink ref="P227" r:id="rId465" xr:uid="{9BE57555-297D-4688-AF00-24276CE49DAA}"/>
    <hyperlink ref="P326" r:id="rId466" xr:uid="{FE1FEE01-839B-4A3E-9E0D-1177F9FD007F}"/>
    <hyperlink ref="E367" r:id="rId467" xr:uid="{3896377B-129B-4AF0-BD08-89AF2554F98C}"/>
    <hyperlink ref="E368" r:id="rId468" xr:uid="{C7AB0ADA-5B8A-4206-BD78-51312780CF65}"/>
    <hyperlink ref="E369" r:id="rId469" xr:uid="{4F6EDA1A-A52E-4294-9A80-051AE34A2C3B}"/>
    <hyperlink ref="E370" r:id="rId470" xr:uid="{B617FC7E-0915-41BB-84A0-69170972C2CD}"/>
    <hyperlink ref="E371" r:id="rId471" xr:uid="{FF5AA7B9-BEF4-452B-89B2-781D1AEEE507}"/>
    <hyperlink ref="E372" r:id="rId472" xr:uid="{94B782F3-BC17-48A4-BF77-6602501F37BD}"/>
    <hyperlink ref="E373" r:id="rId473" xr:uid="{F10DD84A-5F30-47A0-8665-33372F1CDADC}"/>
    <hyperlink ref="E374" r:id="rId474" xr:uid="{92E44083-D18C-41EE-AD91-3C327C639A6B}"/>
    <hyperlink ref="E375" r:id="rId475" xr:uid="{ADA549CF-F707-433F-8B26-406358E35BFE}"/>
    <hyperlink ref="E376" r:id="rId476" xr:uid="{F8DF0A25-73CB-4AE7-B43D-74E82ED997A7}"/>
    <hyperlink ref="E377" r:id="rId477" xr:uid="{F7C5B55C-7A7E-44AA-BAB4-EFFA3A0FD984}"/>
    <hyperlink ref="E378" r:id="rId478" xr:uid="{746FF3D1-716E-4123-AE06-03986B77ABCB}"/>
    <hyperlink ref="E379" r:id="rId479" xr:uid="{C7DB679E-C1F4-4DCA-B795-654B3DB475D0}"/>
    <hyperlink ref="E387" r:id="rId480" xr:uid="{C9AA0EBE-A5F6-4866-8DA3-9E89C244B6E2}"/>
    <hyperlink ref="E386" r:id="rId481" display="2022-27-CO" xr:uid="{2280DA76-8374-449E-80C4-1AD6A0C503B8}"/>
    <hyperlink ref="E385" r:id="rId482" xr:uid="{74520594-400A-4412-9D62-E1E430C6552E}"/>
    <hyperlink ref="E390" r:id="rId483" xr:uid="{E5925D67-D676-47FF-8F8F-BB6F82A3330F}"/>
    <hyperlink ref="E389" r:id="rId484" xr:uid="{CD133717-7090-44F6-871A-5E640229B36F}"/>
    <hyperlink ref="E388" r:id="rId485" xr:uid="{E7D460A2-D1DD-421C-B097-A1CCC885BD92}"/>
    <hyperlink ref="E383" r:id="rId486" xr:uid="{215E7141-3631-4132-8B2C-9614FB179DD4}"/>
    <hyperlink ref="E382" r:id="rId487" xr:uid="{15DC79E7-E0B2-49FE-B797-9410E18AF703}"/>
    <hyperlink ref="E381" r:id="rId488" xr:uid="{2701D8FB-30D1-49A2-BF40-6A6F01EAE36F}"/>
    <hyperlink ref="E380" r:id="rId489" xr:uid="{7806B066-538C-40DD-AC04-78F491804FD7}"/>
    <hyperlink ref="E384" r:id="rId490" xr:uid="{89466CC3-EB79-42EF-AB78-D7967D7F9A15}"/>
    <hyperlink ref="P280" r:id="rId491" xr:uid="{7B21164A-3EF2-43A1-8B12-16BC251C25F1}"/>
    <hyperlink ref="P212" r:id="rId492" xr:uid="{3193C104-173E-4E77-A44E-7905458AE2BC}"/>
    <hyperlink ref="P323" r:id="rId493" xr:uid="{50DB0A85-5F6A-4CA2-9F04-01DC5E1D57CC}"/>
    <hyperlink ref="E391" r:id="rId494" xr:uid="{80C75ED2-9466-45F6-9136-16E241C43135}"/>
    <hyperlink ref="E61" r:id="rId495" xr:uid="{37CB8C9C-6912-4F3B-85D8-532DCFF49E3B}"/>
  </hyperlinks>
  <pageMargins left="0.7" right="0.7" top="0.75" bottom="0.75" header="0.3" footer="0.3"/>
  <pageSetup scale="10" fitToWidth="0" fitToHeight="0" orientation="portrait" verticalDpi="360" r:id="rId496"/>
  <legacyDrawing r:id="rId497"/>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ESTADÍSTICAS!$N$7:$N$260</xm:f>
          </x14:formula1>
          <xm:sqref>D3:D391</xm:sqref>
        </x14:dataValidation>
        <x14:dataValidation type="list" allowBlank="1" showInputMessage="1" showErrorMessage="1" xr:uid="{00000000-0002-0000-0000-000002000000}">
          <x14:formula1>
            <xm:f>ESTADÍSTICAS!$A$36:$A$40</xm:f>
          </x14:formula1>
          <xm:sqref>F3:F391</xm:sqref>
        </x14:dataValidation>
        <x14:dataValidation type="list" allowBlank="1" showInputMessage="1" showErrorMessage="1" xr:uid="{00000000-0002-0000-0000-000003000000}">
          <x14:formula1>
            <xm:f>ESTADÍSTICAS!$A$23:$A$31</xm:f>
          </x14:formula1>
          <xm:sqref>G3:G391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61"/>
  <sheetViews>
    <sheetView zoomScale="85" zoomScaleNormal="85" workbookViewId="0">
      <selection activeCell="F7" sqref="F7"/>
    </sheetView>
  </sheetViews>
  <sheetFormatPr defaultColWidth="9.109375" defaultRowHeight="14.4" x14ac:dyDescent="0.3"/>
  <cols>
    <col min="1" max="1" width="46.5546875" customWidth="1"/>
    <col min="2" max="2" width="17.88671875" customWidth="1"/>
    <col min="3" max="3" width="19.6640625" customWidth="1"/>
    <col min="4" max="4" width="5.5546875" customWidth="1"/>
    <col min="5" max="5" width="30.109375" customWidth="1"/>
    <col min="6" max="6" width="21.88671875" customWidth="1"/>
    <col min="7" max="7" width="18.5546875" customWidth="1"/>
    <col min="8" max="8" width="4.5546875" customWidth="1"/>
    <col min="9" max="9" width="38.33203125" customWidth="1"/>
    <col min="10" max="10" width="16.6640625" customWidth="1"/>
    <col min="11" max="11" width="14.44140625" customWidth="1"/>
    <col min="12" max="12" width="25.5546875" customWidth="1"/>
    <col min="13" max="13" width="12.5546875" customWidth="1"/>
    <col min="14" max="14" width="31.5546875" customWidth="1"/>
    <col min="15" max="15" width="25.5546875" customWidth="1"/>
    <col min="16" max="16" width="21.109375" customWidth="1"/>
    <col min="17" max="17" width="27.6640625" customWidth="1"/>
    <col min="18" max="18" width="24.33203125" customWidth="1"/>
    <col min="19" max="19" width="7.88671875" customWidth="1"/>
    <col min="20" max="20" width="34.5546875" customWidth="1"/>
  </cols>
  <sheetData>
    <row r="1" spans="1:16" ht="31.2" x14ac:dyDescent="0.3">
      <c r="A1" s="178" t="s">
        <v>1872</v>
      </c>
      <c r="B1" s="178"/>
      <c r="C1" s="178"/>
      <c r="D1" s="178"/>
      <c r="E1" s="178"/>
      <c r="F1" s="178"/>
      <c r="G1" s="178"/>
      <c r="H1" s="178"/>
      <c r="I1" s="178"/>
      <c r="J1" s="62"/>
      <c r="N1" s="182" t="s">
        <v>1873</v>
      </c>
      <c r="O1" s="183"/>
      <c r="P1" s="183"/>
    </row>
    <row r="2" spans="1:16" ht="29.25" customHeight="1" thickBot="1" x14ac:dyDescent="0.35">
      <c r="A2" s="185" t="s">
        <v>1874</v>
      </c>
      <c r="B2" s="186"/>
      <c r="C2" s="186"/>
      <c r="E2" s="185" t="s">
        <v>1875</v>
      </c>
      <c r="F2" s="186"/>
      <c r="G2" s="186"/>
      <c r="I2" s="184" t="s">
        <v>1876</v>
      </c>
      <c r="J2" s="184"/>
      <c r="K2" s="66"/>
      <c r="L2" s="66"/>
      <c r="N2" s="75" t="s">
        <v>1877</v>
      </c>
      <c r="O2" s="75" t="s">
        <v>1878</v>
      </c>
      <c r="P2" s="75" t="s">
        <v>1879</v>
      </c>
    </row>
    <row r="3" spans="1:16" ht="27.75" customHeight="1" thickTop="1" x14ac:dyDescent="0.3">
      <c r="A3" s="113" t="s">
        <v>1880</v>
      </c>
      <c r="B3" s="80" t="s">
        <v>1881</v>
      </c>
      <c r="C3" s="114" t="s">
        <v>1882</v>
      </c>
      <c r="E3" s="35" t="s">
        <v>4</v>
      </c>
      <c r="F3" s="36" t="s">
        <v>1881</v>
      </c>
      <c r="G3" s="36" t="s">
        <v>1882</v>
      </c>
      <c r="I3" s="78" t="s">
        <v>1883</v>
      </c>
      <c r="J3" s="74">
        <f ca="1">SUM(PAISES)</f>
        <v>389</v>
      </c>
      <c r="N3" s="179" t="s">
        <v>1884</v>
      </c>
      <c r="O3" s="51" t="s">
        <v>25</v>
      </c>
      <c r="P3" s="63" t="s">
        <v>1885</v>
      </c>
    </row>
    <row r="4" spans="1:16" ht="33" customHeight="1" x14ac:dyDescent="0.3">
      <c r="A4" s="68" t="s">
        <v>1886</v>
      </c>
      <c r="B4" s="111">
        <f ca="1">COUNTIF(VIGENCIA, "Vigente")</f>
        <v>213</v>
      </c>
      <c r="C4" s="115">
        <f ca="1">B4/$B$6</f>
        <v>0.54755784061696655</v>
      </c>
      <c r="E4" s="34" t="s">
        <v>99</v>
      </c>
      <c r="F4" s="93" cm="1">
        <f t="array" aca="1" ref="F4" ca="1">COUNTIF(PAIS, "España")</f>
        <v>72</v>
      </c>
      <c r="G4" s="24">
        <f ca="1">Table2[[#This Row],[CONVENIOS]]/$F$258</f>
        <v>0.18508997429305912</v>
      </c>
      <c r="I4" s="32" t="s">
        <v>1887</v>
      </c>
      <c r="J4" s="67">
        <f ca="1">AVERAGE(ESTADÍSTICAS!$J$6:$J$37)</f>
        <v>12.15625</v>
      </c>
      <c r="N4" s="180"/>
      <c r="O4" s="51" t="s">
        <v>39</v>
      </c>
      <c r="P4" s="63" t="s">
        <v>1888</v>
      </c>
    </row>
    <row r="5" spans="1:16" ht="32.25" customHeight="1" thickBot="1" x14ac:dyDescent="0.35">
      <c r="A5" s="68" t="s">
        <v>1889</v>
      </c>
      <c r="B5" s="111">
        <f ca="1">COUNTIF(VIGENCIA, "No vigente")</f>
        <v>176</v>
      </c>
      <c r="C5" s="115">
        <f ca="1">B5/$B$6</f>
        <v>0.45244215938303339</v>
      </c>
      <c r="E5" s="34" t="s">
        <v>43</v>
      </c>
      <c r="F5" s="93" cm="1">
        <f t="array" aca="1" ref="F5" ca="1">COUNTIF(PAIS, "México")</f>
        <v>47</v>
      </c>
      <c r="G5" s="24">
        <f ca="1">Table2[[#This Row],[CONVENIOS]]/$F$258</f>
        <v>0.12082262210796915</v>
      </c>
      <c r="I5" s="79" t="s">
        <v>11</v>
      </c>
      <c r="J5" s="80" t="s">
        <v>1881</v>
      </c>
      <c r="N5" s="181"/>
      <c r="O5" s="64" t="s">
        <v>23</v>
      </c>
      <c r="P5" s="65" t="s">
        <v>23</v>
      </c>
    </row>
    <row r="6" spans="1:16" ht="34.5" customHeight="1" x14ac:dyDescent="0.3">
      <c r="A6" s="22" t="s">
        <v>1890</v>
      </c>
      <c r="B6" s="74">
        <f ca="1">COUNT(NUMC)</f>
        <v>389</v>
      </c>
      <c r="C6" s="77">
        <f ca="1">SUM(C4:C5)</f>
        <v>1</v>
      </c>
      <c r="E6" s="34" t="s">
        <v>65</v>
      </c>
      <c r="F6" s="93" cm="1">
        <f t="array" aca="1" ref="F6" ca="1">COUNTIF(PAIS, "Organización Internacional")</f>
        <v>44</v>
      </c>
      <c r="G6" s="24">
        <f ca="1">Table2[[#This Row],[CONVENIOS]]/$F$258</f>
        <v>0.11311053984575835</v>
      </c>
      <c r="I6" s="81" t="s">
        <v>23</v>
      </c>
      <c r="J6" s="98">
        <f ca="1">COUNTIF(AÑO, "N/D")</f>
        <v>3</v>
      </c>
      <c r="N6" s="71" t="s">
        <v>4</v>
      </c>
      <c r="O6" s="72" t="s">
        <v>1881</v>
      </c>
    </row>
    <row r="7" spans="1:16" ht="29.25" customHeight="1" x14ac:dyDescent="0.3">
      <c r="E7" s="34" t="s">
        <v>202</v>
      </c>
      <c r="F7" s="93" cm="1">
        <f t="array" aca="1" ref="F7" ca="1">COUNTIF(PAIS, "Varios")</f>
        <v>42</v>
      </c>
      <c r="G7" s="24">
        <f ca="1">Table2[[#This Row],[CONVENIOS]]/$F$258</f>
        <v>0.10796915167095116</v>
      </c>
      <c r="I7" s="81">
        <v>1983</v>
      </c>
      <c r="J7" s="98">
        <f ca="1">COUNTIF(AÑO, "1983")</f>
        <v>1</v>
      </c>
      <c r="N7" s="86" t="s">
        <v>65</v>
      </c>
      <c r="O7" s="88" cm="1">
        <f t="array" aca="1" ref="O7" ca="1">COUNTIF(PAIS, "Organización Internacional")</f>
        <v>44</v>
      </c>
    </row>
    <row r="8" spans="1:16" ht="15.6" x14ac:dyDescent="0.3">
      <c r="A8" s="108" t="s">
        <v>1891</v>
      </c>
      <c r="B8" s="112"/>
      <c r="C8" s="112"/>
      <c r="E8" s="34" t="s">
        <v>86</v>
      </c>
      <c r="F8" s="93" cm="1">
        <f t="array" aca="1" ref="F8" ca="1">COUNTIF(PAIS, "Estados Unidos")</f>
        <v>37</v>
      </c>
      <c r="G8" s="24">
        <f ca="1">Table2[[#This Row],[CONVENIOS]]/$F$258</f>
        <v>9.5115681233933158E-2</v>
      </c>
      <c r="I8" s="81">
        <v>1994</v>
      </c>
      <c r="J8" s="98">
        <f ca="1">COUNTIF(AÑO, "1994")</f>
        <v>1</v>
      </c>
      <c r="N8" s="86" t="s">
        <v>202</v>
      </c>
      <c r="O8" s="88" cm="1">
        <f t="array" aca="1" ref="O8" ca="1">COUNTIF(PAIS, "Varios")</f>
        <v>42</v>
      </c>
    </row>
    <row r="9" spans="1:16" ht="16.2" thickBot="1" x14ac:dyDescent="0.35">
      <c r="A9" s="35" t="s">
        <v>1892</v>
      </c>
      <c r="B9" s="36" t="s">
        <v>1881</v>
      </c>
      <c r="C9" s="36" t="s">
        <v>1882</v>
      </c>
      <c r="E9" s="34" t="s">
        <v>129</v>
      </c>
      <c r="F9" s="93" cm="1">
        <f t="array" aca="1" ref="F9" ca="1">COUNTIF(PAIS, "Cuba")</f>
        <v>20</v>
      </c>
      <c r="G9" s="24">
        <f ca="1">Table2[[#This Row],[CONVENIOS]]/$F$258</f>
        <v>5.1413881748071981E-2</v>
      </c>
      <c r="I9" s="81">
        <v>1995</v>
      </c>
      <c r="J9" s="98">
        <f ca="1">COUNTIF(AÑO, "1995")</f>
        <v>0</v>
      </c>
      <c r="N9" s="86" t="s">
        <v>1893</v>
      </c>
      <c r="O9" s="88" cm="1">
        <f t="array" aca="1" ref="O9" ca="1">COUNTIF(PAIS, "Afganistán")</f>
        <v>0</v>
      </c>
    </row>
    <row r="10" spans="1:16" ht="16.2" thickTop="1" x14ac:dyDescent="0.3">
      <c r="A10" s="33" t="s">
        <v>1894</v>
      </c>
      <c r="B10" s="96">
        <f ca="1">$O$10+$O$11+$O$12+$O$24+$O$30+$O$34+$O$37+$O$41+$O$53+$O$253+$O$60+$O$63+$O$70+$O$71+$O$72+$O$74+$O$78+$O$79+$O$86+$O$100+$O$105+$O$110+$O$130+$O$143+$O$147+$O$148+$O$149+$O$151+$O$157+$O$165+$O$166+$O$168+$O$179+$O$183+$O$191+$O$192+$O$194+$O$195+$O$203+$O$204+$O$210+$O$219+$O$220+$O$231+$O$232+$O$248</f>
        <v>112</v>
      </c>
      <c r="C10" s="20">
        <f t="shared" ref="C10:C18" ca="1" si="0">B10/$B$19</f>
        <v>0.2879177377892031</v>
      </c>
      <c r="E10" s="34" t="s">
        <v>73</v>
      </c>
      <c r="F10" s="93" cm="1">
        <f t="array" aca="1" ref="F10" ca="1">COUNTIF(PAIS, "Colombia")</f>
        <v>16</v>
      </c>
      <c r="G10" s="24">
        <f ca="1">Table2[[#This Row],[CONVENIOS]]/$F$258</f>
        <v>4.1131105398457581E-2</v>
      </c>
      <c r="I10" s="81">
        <v>1996</v>
      </c>
      <c r="J10" s="98">
        <f ca="1">COUNTIF(AÑO, "1996")</f>
        <v>0</v>
      </c>
      <c r="N10" s="86" t="s">
        <v>1895</v>
      </c>
      <c r="O10" s="88" cm="1">
        <f t="array" aca="1" ref="O10" ca="1">COUNTIF(PAIS, "Albania")</f>
        <v>0</v>
      </c>
    </row>
    <row r="11" spans="1:16" ht="15.6" x14ac:dyDescent="0.3">
      <c r="A11" s="34" t="s">
        <v>1896</v>
      </c>
      <c r="B11" s="93">
        <f ca="1">$O$48+$O$73+$O$163+$O$193</f>
        <v>89</v>
      </c>
      <c r="C11" s="20">
        <f t="shared" ca="1" si="0"/>
        <v>0.22879177377892032</v>
      </c>
      <c r="E11" s="34" t="s">
        <v>359</v>
      </c>
      <c r="F11" s="93" cm="1">
        <f t="array" aca="1" ref="F11" ca="1">COUNTIF(PAIS, "Francia")</f>
        <v>10</v>
      </c>
      <c r="G11" s="24">
        <f ca="1">Table2[[#This Row],[CONVENIOS]]/$F$258</f>
        <v>2.570694087403599E-2</v>
      </c>
      <c r="I11" s="81">
        <v>1997</v>
      </c>
      <c r="J11" s="98">
        <f ca="1">COUNTIF(AÑO, "1997")</f>
        <v>1</v>
      </c>
      <c r="N11" s="86" t="s">
        <v>57</v>
      </c>
      <c r="O11" s="88" cm="1">
        <f t="array" aca="1" ref="O11" ca="1">COUNTIF(PAIS, "Alemania")</f>
        <v>7</v>
      </c>
    </row>
    <row r="12" spans="1:16" ht="15.6" x14ac:dyDescent="0.3">
      <c r="A12" s="34" t="s">
        <v>1897</v>
      </c>
      <c r="B12" s="93">
        <f ca="1">$O$7</f>
        <v>44</v>
      </c>
      <c r="C12" s="20">
        <f t="shared" ca="1" si="0"/>
        <v>0.11311053984575835</v>
      </c>
      <c r="E12" s="34" t="s">
        <v>94</v>
      </c>
      <c r="F12" s="93" cm="1">
        <f t="array" aca="1" ref="F12" ca="1">COUNTIF(PAIS, "Costa Rica")</f>
        <v>7</v>
      </c>
      <c r="G12" s="24">
        <f ca="1">Table2[[#This Row],[CONVENIOS]]/$F$258</f>
        <v>1.7994858611825194E-2</v>
      </c>
      <c r="I12" s="81">
        <v>1998</v>
      </c>
      <c r="J12" s="98">
        <f ca="1">COUNTIF(AÑO, "1998")</f>
        <v>1</v>
      </c>
      <c r="L12">
        <f>100/382</f>
        <v>0.26178010471204188</v>
      </c>
      <c r="N12" s="86" t="s">
        <v>1898</v>
      </c>
      <c r="O12" s="88" cm="1">
        <f t="array" aca="1" ref="O12" ca="1">COUNTIF(PAIS, "Andorra")</f>
        <v>0</v>
      </c>
    </row>
    <row r="13" spans="1:16" ht="15.75" customHeight="1" x14ac:dyDescent="0.3">
      <c r="A13" s="34" t="s">
        <v>202</v>
      </c>
      <c r="B13" s="93">
        <f ca="1">$O$8</f>
        <v>42</v>
      </c>
      <c r="C13" s="20">
        <f t="shared" ca="1" si="0"/>
        <v>0.10796915167095116</v>
      </c>
      <c r="E13" s="34" t="s">
        <v>408</v>
      </c>
      <c r="F13" s="93" cm="1">
        <f t="array" aca="1" ref="F13" ca="1">COUNTIF(PAIS, "Nicaragua")</f>
        <v>8</v>
      </c>
      <c r="G13" s="24">
        <f ca="1">Table2[[#This Row],[CONVENIOS]]/$F$258</f>
        <v>2.056555269922879E-2</v>
      </c>
      <c r="I13" s="81">
        <v>1999</v>
      </c>
      <c r="J13" s="98">
        <f ca="1">COUNTIF(AÑO, "1999")</f>
        <v>4</v>
      </c>
      <c r="K13" s="43"/>
      <c r="N13" s="86" t="s">
        <v>1899</v>
      </c>
      <c r="O13" s="88" cm="1">
        <f t="array" aca="1" ref="O13" ca="1">COUNTIF(PAIS, "Angola")</f>
        <v>0</v>
      </c>
    </row>
    <row r="14" spans="1:16" ht="15.6" x14ac:dyDescent="0.3">
      <c r="A14" s="34" t="s">
        <v>1900</v>
      </c>
      <c r="B14" s="93">
        <f ca="1">$O$20+$O$35+$O$39+$O$51+$O$54+$O$65+$O$96+$O$188+$O$189+$O$233+$O$250+$O$254</f>
        <v>40</v>
      </c>
      <c r="C14" s="20">
        <f t="shared" ca="1" si="0"/>
        <v>0.10282776349614396</v>
      </c>
      <c r="E14" s="34" t="s">
        <v>19</v>
      </c>
      <c r="F14" s="93" cm="1">
        <f t="array" aca="1" ref="F14" ca="1">COUNTIF(PAIS, "Panamá")</f>
        <v>7</v>
      </c>
      <c r="G14" s="24">
        <f ca="1">Table2[[#This Row],[CONVENIOS]]/$F$258</f>
        <v>1.7994858611825194E-2</v>
      </c>
      <c r="I14" s="81">
        <v>2000</v>
      </c>
      <c r="J14" s="98">
        <f ca="1">COUNTIF(AÑO, "2000")</f>
        <v>4</v>
      </c>
      <c r="K14" s="37"/>
      <c r="N14" s="86" t="s">
        <v>1901</v>
      </c>
      <c r="O14" s="88" cm="1">
        <f t="array" aca="1" ref="O14" ca="1">COUNTIF(PAIS, "Anguila")</f>
        <v>0</v>
      </c>
    </row>
    <row r="15" spans="1:16" ht="15.6" x14ac:dyDescent="0.3">
      <c r="A15" s="34" t="s">
        <v>1902</v>
      </c>
      <c r="B15" s="93">
        <f ca="1">$O$59+$O$67+$O$98+$O$90+$O$175+$O$186+$O$31</f>
        <v>30</v>
      </c>
      <c r="C15" s="20">
        <f t="shared" ca="1" si="0"/>
        <v>7.7120822622107968E-2</v>
      </c>
      <c r="E15" s="34" t="s">
        <v>447</v>
      </c>
      <c r="F15" s="93" cm="1">
        <f t="array" aca="1" ref="F15" ca="1">COUNTIF(PAIS, "Brasil")</f>
        <v>9</v>
      </c>
      <c r="G15" s="24">
        <f ca="1">Table2[[#This Row],[CONVENIOS]]/$F$258</f>
        <v>2.313624678663239E-2</v>
      </c>
      <c r="I15" s="81">
        <v>2001</v>
      </c>
      <c r="J15" s="98">
        <f ca="1">COUNTIF(AÑO, "2001")</f>
        <v>3</v>
      </c>
      <c r="K15" s="38"/>
      <c r="N15" s="86" t="s">
        <v>1903</v>
      </c>
      <c r="O15" s="88" cm="1">
        <f t="array" aca="1" ref="O15" ca="1">COUNTIF(PAIS, "Antártida")</f>
        <v>0</v>
      </c>
    </row>
    <row r="16" spans="1:16" ht="15.6" x14ac:dyDescent="0.3">
      <c r="A16" s="34" t="s">
        <v>1904</v>
      </c>
      <c r="B16" s="93">
        <f ca="1">$O$16+$O$22+$O$26+$O$28+$O$61+$O$64+$O$85+$O$88+$O$97+$O$111+$O$126+$O$127+$O$128+$O$131+$O$159+$O$199+$O$209+$O$214+$O$216+$O$243+$O$211+$O$212</f>
        <v>21</v>
      </c>
      <c r="C16" s="20">
        <f t="shared" ca="1" si="0"/>
        <v>5.3984575835475578E-2</v>
      </c>
      <c r="E16" s="34" t="s">
        <v>35</v>
      </c>
      <c r="F16" s="93" cm="1">
        <f t="array" aca="1" ref="F16" ca="1">COUNTIF(PAIS, "Argentina")</f>
        <v>7</v>
      </c>
      <c r="G16" s="24">
        <f ca="1">Table2[[#This Row],[CONVENIOS]]/$F$258</f>
        <v>1.7994858611825194E-2</v>
      </c>
      <c r="I16" s="81">
        <v>2002</v>
      </c>
      <c r="J16" s="98">
        <f ca="1">COUNTIF(AÑO, "2002")</f>
        <v>8</v>
      </c>
      <c r="K16" s="38"/>
      <c r="N16" s="86" t="s">
        <v>1905</v>
      </c>
      <c r="O16" s="88" cm="1">
        <f t="array" aca="1" ref="O16" ca="1">COUNTIF(PAIS, "Antigua y Barbuda")</f>
        <v>0</v>
      </c>
    </row>
    <row r="17" spans="1:15" ht="15.6" x14ac:dyDescent="0.3">
      <c r="A17" s="34" t="s">
        <v>1906</v>
      </c>
      <c r="B17" s="93">
        <f ca="1">$O$9+$O$18+$O$21+$O$25+$O$27+$O$29+$O$40+$O$44+$O$46+$O$49+$O$52+$O$56+$O$57+$O$68+$O$77+$O$82+$O$101+$O$102+$O$103+$O$104+$O$129+$O$132+$O$134+$O$135+$O$137+$O$140+$O$141+$O$144+$O$153+$O$155+$O$167+$O$174+$O$182+$O$184+$O$171+$O$223+$O$224+$O$226+$O$234+$O$235+$O$241+$O$237+$O$245+$O$246+$O$251+$O$255+$O$257</f>
        <v>10</v>
      </c>
      <c r="C17" s="20">
        <f t="shared" ca="1" si="0"/>
        <v>2.570694087403599E-2</v>
      </c>
      <c r="E17" s="34" t="s">
        <v>51</v>
      </c>
      <c r="F17" s="93" cm="1">
        <f t="array" aca="1" ref="F17" ca="1">COUNTIF(PAIS, "Canadá")</f>
        <v>5</v>
      </c>
      <c r="G17" s="24">
        <f ca="1">Table2[[#This Row],[CONVENIOS]]/$F$258</f>
        <v>1.2853470437017995E-2</v>
      </c>
      <c r="I17" s="81">
        <v>2003</v>
      </c>
      <c r="J17" s="98">
        <f ca="1">COUNTIF(AÑO, "2003")</f>
        <v>2</v>
      </c>
      <c r="K17" s="38"/>
      <c r="N17" s="86" t="s">
        <v>1907</v>
      </c>
      <c r="O17" s="88" cm="1">
        <f t="array" aca="1" ref="O17" ca="1">COUNTIF(PAIS, "Antillas Holandesas")</f>
        <v>0</v>
      </c>
    </row>
    <row r="18" spans="1:15" ht="19.5" customHeight="1" x14ac:dyDescent="0.3">
      <c r="A18" s="34" t="s">
        <v>1908</v>
      </c>
      <c r="B18" s="93">
        <f ca="1">O$13+O$19+O$32+O$38+O$42+O$43+O$45+O$47+O$196+O$197+O$198+O$50+O$58+O$66+O$69+O$75+O$80+O$81+O$83+O$93+O$94+O$95+O$136+O$142+O$145+O$146+O$152+O$154+O$156+O$158+O$160+O$161+O$170+O$172+O$176+O$177+O$202+O$217+O$218+O$221+O$222+O$225+O$228+O$229+O$230+O$227+O$236+O$244+O$200+O$249+O$258+O$259+O$260</f>
        <v>1</v>
      </c>
      <c r="C18" s="20">
        <f t="shared" ca="1" si="0"/>
        <v>2.5706940874035988E-3</v>
      </c>
      <c r="E18" s="34" t="s">
        <v>230</v>
      </c>
      <c r="F18" s="93" cm="1">
        <f t="array" aca="1" ref="F18" ca="1">COUNTIF(PAIS, "Suiza")</f>
        <v>6</v>
      </c>
      <c r="G18" s="24">
        <f ca="1">Table2[[#This Row],[CONVENIOS]]/$F$258</f>
        <v>1.5424164524421594E-2</v>
      </c>
      <c r="I18" s="81">
        <v>2004</v>
      </c>
      <c r="J18" s="98">
        <f ca="1">COUNTIF(AÑO, "2004")</f>
        <v>6</v>
      </c>
      <c r="K18" s="38"/>
      <c r="N18" s="86" t="s">
        <v>1909</v>
      </c>
      <c r="O18" s="88" cm="1">
        <f t="array" aca="1" ref="O18" ca="1">COUNTIF(PAIS, "Arabia Saudita")</f>
        <v>0</v>
      </c>
    </row>
    <row r="19" spans="1:15" ht="15.6" x14ac:dyDescent="0.3">
      <c r="A19" s="23" t="s">
        <v>1883</v>
      </c>
      <c r="B19" s="74">
        <f ca="1">SUM(B10:B18)</f>
        <v>389</v>
      </c>
      <c r="C19" s="77">
        <f ca="1">SUM(C10:C18)</f>
        <v>1</v>
      </c>
      <c r="E19" s="34" t="s">
        <v>604</v>
      </c>
      <c r="F19" s="93" cm="1">
        <f t="array" aca="1" ref="F19" ca="1">COUNTIF(PAIS, "Italia")</f>
        <v>6</v>
      </c>
      <c r="G19" s="24">
        <f ca="1">Table2[[#This Row],[CONVENIOS]]/$F$258</f>
        <v>1.5424164524421594E-2</v>
      </c>
      <c r="I19" s="81">
        <v>2005</v>
      </c>
      <c r="J19" s="98">
        <f ca="1">COUNTIF(AÑO, "2005")</f>
        <v>3</v>
      </c>
      <c r="K19" s="38"/>
      <c r="N19" s="86" t="s">
        <v>1910</v>
      </c>
      <c r="O19" s="88" cm="1">
        <f t="array" aca="1" ref="O19" ca="1">COUNTIF(PAIS, "Argelia")</f>
        <v>0</v>
      </c>
    </row>
    <row r="20" spans="1:15" ht="15.6" x14ac:dyDescent="0.3">
      <c r="E20" s="34" t="s">
        <v>57</v>
      </c>
      <c r="F20" s="93" cm="1">
        <f t="array" aca="1" ref="F20" ca="1">COUNTIF(PAIS, "Alemania")</f>
        <v>7</v>
      </c>
      <c r="G20" s="24">
        <f ca="1">Table2[[#This Row],[CONVENIOS]]/$F$258</f>
        <v>1.7994858611825194E-2</v>
      </c>
      <c r="I20" s="81">
        <v>2006</v>
      </c>
      <c r="J20" s="98">
        <f ca="1">COUNTIF(AÑO, "2006")</f>
        <v>3</v>
      </c>
      <c r="K20" s="38"/>
      <c r="N20" s="86" t="s">
        <v>35</v>
      </c>
      <c r="O20" s="88" cm="1">
        <f t="array" aca="1" ref="O20" ca="1">COUNTIF(PAIS, "Argentina")</f>
        <v>7</v>
      </c>
    </row>
    <row r="21" spans="1:15" ht="22.5" customHeight="1" x14ac:dyDescent="0.3">
      <c r="A21" s="109" t="s">
        <v>1911</v>
      </c>
      <c r="B21" s="110"/>
      <c r="C21" s="110"/>
      <c r="E21" s="34" t="s">
        <v>564</v>
      </c>
      <c r="F21" s="93" cm="1">
        <f t="array" aca="1" ref="F21" ca="1">COUNTIF(PAIS, "Corea del Sur")</f>
        <v>4</v>
      </c>
      <c r="G21" s="24">
        <f ca="1">Table2[[#This Row],[CONVENIOS]]/$F$258</f>
        <v>1.0282776349614395E-2</v>
      </c>
      <c r="I21" s="81">
        <v>2007</v>
      </c>
      <c r="J21" s="98">
        <f ca="1">COUNTIF(AÑO, "2007")</f>
        <v>4</v>
      </c>
      <c r="K21" s="38"/>
      <c r="N21" s="86" t="s">
        <v>1912</v>
      </c>
      <c r="O21" s="88" cm="1">
        <f t="array" aca="1" ref="O21" ca="1">COUNTIF(PAIS, "Armenia")</f>
        <v>0</v>
      </c>
    </row>
    <row r="22" spans="1:15" ht="18.75" customHeight="1" thickBot="1" x14ac:dyDescent="0.35">
      <c r="A22" s="28" t="s">
        <v>1913</v>
      </c>
      <c r="B22" s="44" t="s">
        <v>1881</v>
      </c>
      <c r="C22" s="45" t="s">
        <v>1882</v>
      </c>
      <c r="E22" s="34" t="s">
        <v>682</v>
      </c>
      <c r="F22" s="93" cm="1">
        <f t="array" aca="1" ref="F22" ca="1">COUNTIF(PAIS, "El Salvador")</f>
        <v>4</v>
      </c>
      <c r="G22" s="24">
        <f ca="1">Table2[[#This Row],[CONVENIOS]]/$F$258</f>
        <v>1.0282776349614395E-2</v>
      </c>
      <c r="I22" s="81">
        <v>2008</v>
      </c>
      <c r="J22" s="98">
        <f ca="1">COUNTIF(AÑO, "2008")</f>
        <v>16</v>
      </c>
      <c r="K22" s="40"/>
      <c r="N22" s="86" t="s">
        <v>1914</v>
      </c>
      <c r="O22" s="88" cm="1">
        <f t="array" aca="1" ref="O22" ca="1">COUNTIF(PAIS, "Aruba")</f>
        <v>0</v>
      </c>
    </row>
    <row r="23" spans="1:15" ht="16.2" thickTop="1" x14ac:dyDescent="0.3">
      <c r="A23" s="21" t="s">
        <v>21</v>
      </c>
      <c r="B23" s="91">
        <f ca="1">COUNTIF(CONTRAPARTE,"Institución Educativa")</f>
        <v>241</v>
      </c>
      <c r="C23" s="20">
        <f ca="1">Table1[[#This Row],[CONVENIOS]]/Table1[[#Totals],[CONVENIOS]]</f>
        <v>0.61953727506426737</v>
      </c>
      <c r="E23" s="34" t="s">
        <v>181</v>
      </c>
      <c r="F23" s="93" cm="1">
        <f t="array" aca="1" ref="F23" ca="1">COUNTIF(PAIS, "Chile")</f>
        <v>3</v>
      </c>
      <c r="G23" s="24">
        <f ca="1">Table2[[#This Row],[CONVENIOS]]/$F$258</f>
        <v>7.7120822622107968E-3</v>
      </c>
      <c r="I23" s="81">
        <v>2009</v>
      </c>
      <c r="J23" s="98">
        <f ca="1">COUNTIF(AÑO, "2009")</f>
        <v>11</v>
      </c>
      <c r="K23" s="41"/>
      <c r="N23" s="86" t="s">
        <v>1915</v>
      </c>
      <c r="O23" s="88" cm="1">
        <f t="array" aca="1" ref="O23" ca="1">COUNTIF(PAIS, "Australia")</f>
        <v>0</v>
      </c>
    </row>
    <row r="24" spans="1:15" ht="15.6" x14ac:dyDescent="0.3">
      <c r="A24" s="21" t="s">
        <v>65</v>
      </c>
      <c r="B24" s="91">
        <f ca="1">COUNTIF(CONTRAPARTE,"Organización Internacional")</f>
        <v>40</v>
      </c>
      <c r="C24" s="20">
        <f ca="1">Table1[[#This Row],[CONVENIOS]]/Table1[[#Totals],[CONVENIOS]]</f>
        <v>0.10282776349614396</v>
      </c>
      <c r="E24" s="34" t="s">
        <v>318</v>
      </c>
      <c r="F24" s="93" cm="1">
        <f t="array" aca="1" ref="F24" ca="1">COUNTIF(PAIS, "Suecia")</f>
        <v>3</v>
      </c>
      <c r="G24" s="24">
        <f ca="1">Table2[[#This Row],[CONVENIOS]]/$F$258</f>
        <v>7.7120822622107968E-3</v>
      </c>
      <c r="I24" s="81">
        <v>2010</v>
      </c>
      <c r="J24" s="98">
        <f ca="1">COUNTIF(AÑO, "2010")</f>
        <v>10</v>
      </c>
      <c r="N24" s="86" t="s">
        <v>1916</v>
      </c>
      <c r="O24" s="88" cm="1">
        <f t="array" aca="1" ref="O24" ca="1">COUNTIF(PAIS, "Austria")</f>
        <v>0</v>
      </c>
    </row>
    <row r="25" spans="1:15" ht="15.6" x14ac:dyDescent="0.3">
      <c r="A25" s="27" t="s">
        <v>171</v>
      </c>
      <c r="B25" s="91">
        <f ca="1">COUNTIF(CONTRAPARTE,"Organización No Gubernamental (ONG)")</f>
        <v>32</v>
      </c>
      <c r="C25" s="20">
        <f ca="1">Table1[[#This Row],[CONVENIOS]]/Table1[[#Totals],[CONVENIOS]]</f>
        <v>8.2262210796915161E-2</v>
      </c>
      <c r="E25" s="34" t="s">
        <v>29</v>
      </c>
      <c r="F25" s="93" cm="1">
        <f t="array" aca="1" ref="F25" ca="1">COUNTIF(PAIS, "Taiwán")</f>
        <v>3</v>
      </c>
      <c r="G25" s="24">
        <f ca="1">Table2[[#This Row],[CONVENIOS]]/$F$258</f>
        <v>7.7120822622107968E-3</v>
      </c>
      <c r="I25" s="81">
        <v>2011</v>
      </c>
      <c r="J25" s="98">
        <f ca="1">COUNTIF(AÑO, "2011")</f>
        <v>19</v>
      </c>
      <c r="N25" s="86" t="s">
        <v>1917</v>
      </c>
      <c r="O25" s="88" cm="1">
        <f t="array" aca="1" ref="O25" ca="1">COUNTIF(PAIS, "Azerbaiyán")</f>
        <v>0</v>
      </c>
    </row>
    <row r="26" spans="1:15" ht="15.6" x14ac:dyDescent="0.3">
      <c r="A26" s="21" t="s">
        <v>469</v>
      </c>
      <c r="B26" s="91">
        <f ca="1">COUNTIFS(CONTRAPARTE,"&lt;&gt;Institución Educativa",CONTRAPARTE,"&lt;&gt;Organización Internacional",CONTRAPARTE,"&lt;&gt;Organización No Gubernamental (ONG)",CONTRAPARTE,"&lt;&gt;Consorcio",CONTRAPARTE,"&lt;&gt;Entidad Estatal Extranjera",CONTRAPARTE,"&lt;&gt;Agencia Extranjera de Cooperación",CONTRAPARTE,"&lt;&gt;Red Universitaria",CONTRAPARTE,"&lt;&gt;Sociedad Mercantil")-1</f>
        <v>22</v>
      </c>
      <c r="C26" s="20">
        <f ca="1">Table1[[#This Row],[CONVENIOS]]/Table1[[#Totals],[CONVENIOS]]</f>
        <v>5.6555269922879174E-2</v>
      </c>
      <c r="E26" s="34" t="s">
        <v>1042</v>
      </c>
      <c r="F26" s="93" cm="1">
        <f t="array" aca="1" ref="F26" ca="1">COUNTIF(PAIS, "Polonia")</f>
        <v>3</v>
      </c>
      <c r="G26" s="24">
        <f ca="1">Table2[[#This Row],[CONVENIOS]]/$F$258</f>
        <v>7.7120822622107968E-3</v>
      </c>
      <c r="I26" s="81">
        <v>2012</v>
      </c>
      <c r="J26" s="98">
        <f ca="1">COUNTIF(AÑO, "2012")</f>
        <v>22</v>
      </c>
      <c r="N26" s="86" t="s">
        <v>1918</v>
      </c>
      <c r="O26" s="88" cm="1">
        <f t="array" aca="1" ref="O26" ca="1">COUNTIF(PAIS, "Bahamas")</f>
        <v>0</v>
      </c>
    </row>
    <row r="27" spans="1:15" ht="15.6" x14ac:dyDescent="0.3">
      <c r="A27" s="21" t="s">
        <v>87</v>
      </c>
      <c r="B27" s="91">
        <f ca="1">COUNTIF(CONTRAPARTE,"Sociedad Mercantil")</f>
        <v>13</v>
      </c>
      <c r="C27" s="20">
        <f ca="1">Table1[[#This Row],[CONVENIOS]]/Table1[[#Totals],[CONVENIOS]]</f>
        <v>3.3419023136246784E-2</v>
      </c>
      <c r="E27" s="34" t="s">
        <v>965</v>
      </c>
      <c r="F27" s="93" cm="1">
        <f t="array" aca="1" ref="F27" ca="1">COUNTIF(PAIS, "Japón")</f>
        <v>2</v>
      </c>
      <c r="G27" s="24">
        <f ca="1">Table2[[#This Row],[CONVENIOS]]/$F$258</f>
        <v>5.1413881748071976E-3</v>
      </c>
      <c r="I27" s="81">
        <v>2013</v>
      </c>
      <c r="J27" s="98">
        <f ca="1">COUNTIF(AÑO, "2013")</f>
        <v>25</v>
      </c>
      <c r="N27" s="86" t="s">
        <v>1919</v>
      </c>
      <c r="O27" s="88" cm="1">
        <f t="array" aca="1" ref="O27" ca="1">COUNTIF(PAIS, "Bangladesh")</f>
        <v>0</v>
      </c>
    </row>
    <row r="28" spans="1:15" ht="15.6" x14ac:dyDescent="0.3">
      <c r="A28" s="27" t="s">
        <v>1862</v>
      </c>
      <c r="B28" s="91">
        <f ca="1">COUNTIF(CONTRAPARTE,"Agencia Extranjera de Cooperación")</f>
        <v>12</v>
      </c>
      <c r="C28" s="20">
        <f ca="1">Table1[[#This Row],[CONVENIOS]]/Table1[[#Totals],[CONVENIOS]]</f>
        <v>3.0848329048843187E-2</v>
      </c>
      <c r="E28" s="34" t="s">
        <v>1212</v>
      </c>
      <c r="F28" s="93" cm="1">
        <f t="array" aca="1" ref="F28" ca="1">COUNTIF(PAIS, "Ecuador")</f>
        <v>2</v>
      </c>
      <c r="G28" s="24">
        <f ca="1">Table2[[#This Row],[CONVENIOS]]/$F$258</f>
        <v>5.1413881748071976E-3</v>
      </c>
      <c r="I28" s="81">
        <v>2014</v>
      </c>
      <c r="J28" s="98">
        <f ca="1">COUNTIF(AÑO, "2014")</f>
        <v>32</v>
      </c>
      <c r="N28" s="86" t="s">
        <v>1920</v>
      </c>
      <c r="O28" s="88" cm="1">
        <f t="array" aca="1" ref="O28" ca="1">COUNTIF(PAIS, "Barbados")</f>
        <v>0</v>
      </c>
    </row>
    <row r="29" spans="1:15" ht="15.6" x14ac:dyDescent="0.3">
      <c r="A29" s="21" t="s">
        <v>644</v>
      </c>
      <c r="B29" s="91">
        <f ca="1">COUNTIF(CONTRAPARTE,"Consorcio")</f>
        <v>13</v>
      </c>
      <c r="C29" s="20">
        <f ca="1">Table1[[#This Row],[CONVENIOS]]/Table1[[#Totals],[CONVENIOS]]</f>
        <v>3.3419023136246784E-2</v>
      </c>
      <c r="E29" s="34" t="s">
        <v>1400</v>
      </c>
      <c r="F29" s="93" cm="1">
        <f t="array" aca="1" ref="F29" ca="1">COUNTIF(PAIS, "Países Bajos")</f>
        <v>2</v>
      </c>
      <c r="G29" s="24">
        <f ca="1">Table2[[#This Row],[CONVENIOS]]/$F$258</f>
        <v>5.1413881748071976E-3</v>
      </c>
      <c r="I29" s="81">
        <v>2015</v>
      </c>
      <c r="J29" s="98">
        <f ca="1">COUNTIF(AÑO, "2015")</f>
        <v>17</v>
      </c>
      <c r="N29" s="86" t="s">
        <v>1921</v>
      </c>
      <c r="O29" s="88" cm="1">
        <f t="array" aca="1" ref="O29" ca="1">COUNTIF(PAIS, "Baréin")</f>
        <v>0</v>
      </c>
    </row>
    <row r="30" spans="1:15" ht="15.6" x14ac:dyDescent="0.3">
      <c r="A30" s="21" t="s">
        <v>360</v>
      </c>
      <c r="B30" s="91">
        <f ca="1">COUNTIF(CONTRAPARTE,"Entidad Estatal Extranjera")</f>
        <v>9</v>
      </c>
      <c r="C30" s="20">
        <f ca="1">Table1[[#This Row],[CONVENIOS]]/Table1[[#Totals],[CONVENIOS]]</f>
        <v>2.313624678663239E-2</v>
      </c>
      <c r="E30" s="34" t="s">
        <v>902</v>
      </c>
      <c r="F30" s="93" cm="1">
        <f t="array" aca="1" ref="F30" ca="1">COUNTIF(PAIS, "Guatemala")</f>
        <v>1</v>
      </c>
      <c r="G30" s="24">
        <f ca="1">Table2[[#This Row],[CONVENIOS]]/$F$258</f>
        <v>2.5706940874035988E-3</v>
      </c>
      <c r="I30" s="81">
        <v>2016</v>
      </c>
      <c r="J30" s="98">
        <f ca="1">COUNTIF(AÑO, "2016")</f>
        <v>25</v>
      </c>
      <c r="N30" s="86" t="s">
        <v>1922</v>
      </c>
      <c r="O30" s="88" cm="1">
        <f t="array" aca="1" ref="O30" ca="1">COUNTIF(PAIS, "Bélgica")</f>
        <v>0</v>
      </c>
    </row>
    <row r="31" spans="1:15" ht="16.2" thickBot="1" x14ac:dyDescent="0.35">
      <c r="A31" s="49" t="s">
        <v>203</v>
      </c>
      <c r="B31" s="92">
        <f ca="1">COUNTIF(CONTRAPARTE,"Red Universitaria")</f>
        <v>7</v>
      </c>
      <c r="C31" s="50">
        <f ca="1">Table1[[#This Row],[CONVENIOS]]/Table1[[#Totals],[CONVENIOS]]</f>
        <v>1.7994858611825194E-2</v>
      </c>
      <c r="E31" s="34" t="s">
        <v>1297</v>
      </c>
      <c r="F31" s="93" cm="1">
        <f t="array" aca="1" ref="F31" ca="1">COUNTIF(PAIS, "Bolivia")</f>
        <v>1</v>
      </c>
      <c r="G31" s="24">
        <f ca="1">Table2[[#This Row],[CONVENIOS]]/$F$258</f>
        <v>2.5706940874035988E-3</v>
      </c>
      <c r="I31" s="81" t="s">
        <v>1923</v>
      </c>
      <c r="J31" s="98">
        <f ca="1">COUNTIF(AÑO, "2017")</f>
        <v>23</v>
      </c>
      <c r="N31" s="86" t="s">
        <v>1924</v>
      </c>
      <c r="O31" s="88" cm="1">
        <f t="array" aca="1" ref="O31" ca="1">COUNTIF(PAIS, "Belice")</f>
        <v>0</v>
      </c>
    </row>
    <row r="32" spans="1:15" ht="15.6" x14ac:dyDescent="0.3">
      <c r="A32" s="48" t="s">
        <v>1883</v>
      </c>
      <c r="B32" s="46">
        <f ca="1">SUBTOTAL(109,Table1[CONVENIOS])</f>
        <v>389</v>
      </c>
      <c r="C32" s="47">
        <f ca="1">SUBTOTAL(109,Table1[PORCENTAJE])</f>
        <v>1</v>
      </c>
      <c r="E32" s="34" t="s">
        <v>599</v>
      </c>
      <c r="F32" s="93" cm="1">
        <f t="array" aca="1" ref="F32" ca="1">COUNTIF(PAIS, "Guinea Ecuatorial")</f>
        <v>1</v>
      </c>
      <c r="G32" s="24">
        <f ca="1">Table2[[#This Row],[CONVENIOS]]/$F$258</f>
        <v>2.5706940874035988E-3</v>
      </c>
      <c r="I32" s="81" t="s">
        <v>1925</v>
      </c>
      <c r="J32" s="98">
        <f ca="1">COUNTIF(AÑO, "2018")</f>
        <v>18</v>
      </c>
      <c r="N32" s="86" t="s">
        <v>1926</v>
      </c>
      <c r="O32" s="88" cm="1">
        <f t="array" aca="1" ref="O32" ca="1">COUNTIF(PAIS, "Benín")</f>
        <v>0</v>
      </c>
    </row>
    <row r="33" spans="1:16" ht="15.6" x14ac:dyDescent="0.3">
      <c r="E33" s="34" t="s">
        <v>1122</v>
      </c>
      <c r="F33" s="93" cm="1">
        <f t="array" aca="1" ref="F33" ca="1">COUNTIF(PAIS, "Honduras")</f>
        <v>3</v>
      </c>
      <c r="G33" s="24">
        <f ca="1">Table2[[#This Row],[CONVENIOS]]/$F$258</f>
        <v>7.7120822622107968E-3</v>
      </c>
      <c r="I33" s="81" t="s">
        <v>1927</v>
      </c>
      <c r="J33" s="98" cm="1">
        <f t="array" aca="1" ref="J33" ca="1">COUNTIF(AÑO, "2019")</f>
        <v>41</v>
      </c>
      <c r="N33" s="86" t="s">
        <v>1928</v>
      </c>
      <c r="O33" s="88" cm="1">
        <f t="array" aca="1" ref="O33" ca="1">COUNTIF(PAIS, "Bermuda")</f>
        <v>0</v>
      </c>
    </row>
    <row r="34" spans="1:16" ht="15.6" x14ac:dyDescent="0.3">
      <c r="A34" s="108" t="s">
        <v>1929</v>
      </c>
      <c r="B34" s="112"/>
      <c r="C34" s="112"/>
      <c r="E34" s="34" t="s">
        <v>946</v>
      </c>
      <c r="F34" s="93" cm="1">
        <f t="array" aca="1" ref="F34" ca="1">COUNTIF(PAIS, "Perú")</f>
        <v>1</v>
      </c>
      <c r="G34" s="24">
        <f ca="1">Table2[[#This Row],[CONVENIOS]]/$F$258</f>
        <v>2.5706940874035988E-3</v>
      </c>
      <c r="I34" s="81" t="s">
        <v>1930</v>
      </c>
      <c r="J34" s="98" cm="1">
        <f t="array" aca="1" ref="J34" ca="1">COUNTIF(AÑO, "2020")</f>
        <v>23</v>
      </c>
      <c r="N34" s="86" t="s">
        <v>1931</v>
      </c>
      <c r="O34" s="88" cm="1">
        <f t="array" aca="1" ref="O34" ca="1">COUNTIF(PAIS, "Bielorrusia")</f>
        <v>0</v>
      </c>
    </row>
    <row r="35" spans="1:16" ht="16.2" thickBot="1" x14ac:dyDescent="0.35">
      <c r="A35" s="28" t="s">
        <v>1913</v>
      </c>
      <c r="B35" s="28" t="s">
        <v>1932</v>
      </c>
      <c r="C35" s="28" t="s">
        <v>1882</v>
      </c>
      <c r="E35" s="34" t="s">
        <v>933</v>
      </c>
      <c r="F35" s="93" cm="1">
        <f t="array" aca="1" ref="F35" ca="1">COUNTIF(PAIS, "Reino Unido")</f>
        <v>1</v>
      </c>
      <c r="G35" s="24">
        <f ca="1">Table2[[#This Row],[CONVENIOS]]/$F$258</f>
        <v>2.5706940874035988E-3</v>
      </c>
      <c r="I35" s="76" t="s">
        <v>1933</v>
      </c>
      <c r="J35" s="98" cm="1">
        <f t="array" aca="1" ref="J35" ca="1">COUNTIF(AÑO, "2021")</f>
        <v>30</v>
      </c>
      <c r="N35" s="86" t="s">
        <v>1297</v>
      </c>
      <c r="O35" s="88" cm="1">
        <f t="array" aca="1" ref="O35" ca="1">COUNTIF(PAIS, "Bolivia")</f>
        <v>1</v>
      </c>
    </row>
    <row r="36" spans="1:16" ht="16.2" thickTop="1" x14ac:dyDescent="0.3">
      <c r="A36" s="27" t="s">
        <v>20</v>
      </c>
      <c r="B36" s="97">
        <f ca="1">COUNTIF(TIPO, "Convenio Marco")</f>
        <v>190</v>
      </c>
      <c r="C36" s="29">
        <f ca="1">B36/$B$41</f>
        <v>0.4884318766066838</v>
      </c>
      <c r="E36" s="68" t="s">
        <v>624</v>
      </c>
      <c r="F36" s="94" cm="1">
        <f t="array" aca="1" ref="F36" ca="1">COUNTIF(PAIS, "República Dominicana")</f>
        <v>1</v>
      </c>
      <c r="G36" s="24">
        <f ca="1">Table2[[#This Row],[CONVENIOS]]/$F$258</f>
        <v>2.5706940874035988E-3</v>
      </c>
      <c r="I36" s="76" t="s">
        <v>1934</v>
      </c>
      <c r="J36" s="98" cm="1">
        <f t="array" aca="1" ref="J36" ca="1">COUNTIF(AÑO, "2022")</f>
        <v>29</v>
      </c>
      <c r="N36" s="86" t="s">
        <v>1935</v>
      </c>
      <c r="O36" s="88" cm="1">
        <f t="array" aca="1" ref="O36" ca="1">COUNTIF(PAIS, "Bonaire, San Eustaquio y Saba")</f>
        <v>0</v>
      </c>
    </row>
    <row r="37" spans="1:16" ht="15.6" x14ac:dyDescent="0.3">
      <c r="A37" s="27" t="s">
        <v>44</v>
      </c>
      <c r="B37" s="97">
        <f ca="1">COUNTIF(TIPO, "Convenio Específico")</f>
        <v>102</v>
      </c>
      <c r="C37" s="29">
        <f ca="1">B37/$B$41</f>
        <v>0.26221079691516708</v>
      </c>
      <c r="E37" s="21" t="s">
        <v>1671</v>
      </c>
      <c r="F37" s="91" cm="1">
        <f t="array" aca="1" ref="F37" ca="1">COUNTIF(PAIS, "Irlanda")</f>
        <v>1</v>
      </c>
      <c r="G37" s="24">
        <f ca="1">Table2[[#This Row],[CONVENIOS]]/$F$258</f>
        <v>2.5706940874035988E-3</v>
      </c>
      <c r="I37" s="76" t="s">
        <v>2454</v>
      </c>
      <c r="J37" s="98" cm="1">
        <f t="array" aca="1" ref="J37" ca="1">COUNTIF(AÑO, "2023")</f>
        <v>4</v>
      </c>
      <c r="N37" s="86" t="s">
        <v>1936</v>
      </c>
      <c r="O37" s="88" cm="1">
        <f t="array" aca="1" ref="O37" ca="1">COUNTIF(PAIS, "Bosnia y Herzegovina")</f>
        <v>0</v>
      </c>
      <c r="P37" s="38"/>
    </row>
    <row r="38" spans="1:16" ht="15.6" x14ac:dyDescent="0.3">
      <c r="A38" s="27" t="s">
        <v>325</v>
      </c>
      <c r="B38" s="97">
        <f ca="1">COUNTIF(TIPO, "Carta de Intenciones")</f>
        <v>51</v>
      </c>
      <c r="C38" s="29">
        <f ca="1">B38/$B$41</f>
        <v>0.13110539845758354</v>
      </c>
      <c r="E38" s="21" t="s">
        <v>1770</v>
      </c>
      <c r="F38" s="91" cm="1">
        <f t="array" aca="1" ref="F38" ca="1">COUNTIF(PAIS, "Uruguay")</f>
        <v>1</v>
      </c>
      <c r="G38" s="24">
        <f ca="1">Table2[[#This Row],[CONVENIOS]]/$F$258</f>
        <v>2.5706940874035988E-3</v>
      </c>
      <c r="N38" s="86" t="s">
        <v>1937</v>
      </c>
      <c r="O38" s="88" cm="1">
        <f t="array" aca="1" ref="O38" ca="1">COUNTIF(PAIS, "Botsuana")</f>
        <v>0</v>
      </c>
      <c r="P38" s="39"/>
    </row>
    <row r="39" spans="1:16" ht="15.6" x14ac:dyDescent="0.3">
      <c r="A39" s="27" t="s">
        <v>30</v>
      </c>
      <c r="B39" s="97">
        <f ca="1">COUNTIF(TIPO, "Memorándum de Entendimiento")</f>
        <v>34</v>
      </c>
      <c r="C39" s="29">
        <f ca="1">B39/$B$41</f>
        <v>8.7403598971722368E-2</v>
      </c>
      <c r="E39" s="21" t="s">
        <v>1614</v>
      </c>
      <c r="F39" s="91" cm="1">
        <f t="array" aca="1" ref="F39" ca="1">COUNTIF(PAIS, "Turquía")</f>
        <v>1</v>
      </c>
      <c r="G39" s="24">
        <f ca="1">Table2[[#This Row],[CONVENIOS]]/$F$258</f>
        <v>2.5706940874035988E-3</v>
      </c>
      <c r="N39" s="73" t="s">
        <v>447</v>
      </c>
      <c r="O39" s="89" cm="1">
        <f t="array" aca="1" ref="O39" ca="1">COUNTIF(PAIS, "Brasil")</f>
        <v>9</v>
      </c>
      <c r="P39" s="39"/>
    </row>
    <row r="40" spans="1:16" ht="16.2" thickBot="1" x14ac:dyDescent="0.35">
      <c r="A40" s="31" t="s">
        <v>256</v>
      </c>
      <c r="B40" s="97">
        <f ca="1">COUNTIFS(TIPO,"&lt;&gt;Carta de Intenciones", TIPO,"&lt;&gt;Memorándum de Entendimiento", TIPO,"&lt;&gt;Convenio Marco",TIPO,"&lt;&gt;Convenio Específico")-1</f>
        <v>12</v>
      </c>
      <c r="C40" s="30">
        <f ca="1">B40/$B$41</f>
        <v>3.0848329048843187E-2</v>
      </c>
      <c r="E40" s="21" t="s">
        <v>1893</v>
      </c>
      <c r="F40" s="91" cm="1">
        <f t="array" aca="1" ref="F40" ca="1">COUNTIF(PAIS, "Afganistán")</f>
        <v>0</v>
      </c>
      <c r="G40" s="24">
        <f ca="1">Table2[[#This Row],[CONVENIOS]]/$F$258</f>
        <v>0</v>
      </c>
      <c r="N40" s="69" t="s">
        <v>1938</v>
      </c>
      <c r="O40" s="70" cm="1">
        <f t="array" aca="1" ref="O40" ca="1">COUNTIF(PAIS, "Brunei")</f>
        <v>0</v>
      </c>
      <c r="P40" s="39"/>
    </row>
    <row r="41" spans="1:16" ht="16.2" thickTop="1" x14ac:dyDescent="0.3">
      <c r="A41" s="78" t="s">
        <v>1883</v>
      </c>
      <c r="B41" s="25">
        <f ca="1">SUM(B36:B40)</f>
        <v>389</v>
      </c>
      <c r="C41" s="26">
        <f ca="1">SUM(C36:C40)</f>
        <v>0.99999999999999989</v>
      </c>
      <c r="E41" s="21" t="s">
        <v>1895</v>
      </c>
      <c r="F41" s="91" cm="1">
        <f t="array" aca="1" ref="F41" ca="1">COUNTIF(PAIS, "Albania")</f>
        <v>0</v>
      </c>
      <c r="G41" s="24">
        <f ca="1">Table2[[#This Row],[CONVENIOS]]/$F$258</f>
        <v>0</v>
      </c>
      <c r="N41" s="69" t="s">
        <v>1939</v>
      </c>
      <c r="O41" s="70" cm="1">
        <f t="array" aca="1" ref="O41" ca="1">COUNTIF(PAIS, "Bulgaria")</f>
        <v>0</v>
      </c>
      <c r="P41" s="39"/>
    </row>
    <row r="42" spans="1:16" ht="15.6" x14ac:dyDescent="0.3">
      <c r="E42" s="21" t="s">
        <v>1898</v>
      </c>
      <c r="F42" s="91" cm="1">
        <f t="array" aca="1" ref="F42" ca="1">COUNTIF(PAIS, "Andorra")</f>
        <v>0</v>
      </c>
      <c r="G42" s="24">
        <f ca="1">Table2[[#This Row],[CONVENIOS]]/$F$258</f>
        <v>0</v>
      </c>
      <c r="N42" s="69" t="s">
        <v>1940</v>
      </c>
      <c r="O42" s="70" cm="1">
        <f t="array" aca="1" ref="O42" ca="1">COUNTIF(PAIS, "Burkina Faso")</f>
        <v>0</v>
      </c>
      <c r="P42" s="42"/>
    </row>
    <row r="43" spans="1:16" ht="15.6" x14ac:dyDescent="0.3">
      <c r="E43" s="21" t="s">
        <v>1899</v>
      </c>
      <c r="F43" s="91" cm="1">
        <f t="array" aca="1" ref="F43" ca="1">COUNTIF(PAIS, "Angola")</f>
        <v>0</v>
      </c>
      <c r="G43" s="24">
        <f ca="1">Table2[[#This Row],[CONVENIOS]]/$F$258</f>
        <v>0</v>
      </c>
      <c r="N43" s="69" t="s">
        <v>1941</v>
      </c>
      <c r="O43" s="70" cm="1">
        <f t="array" aca="1" ref="O43" ca="1">COUNTIF(PAIS, "Burundi")</f>
        <v>0</v>
      </c>
    </row>
    <row r="44" spans="1:16" ht="15.6" x14ac:dyDescent="0.3">
      <c r="E44" s="21" t="s">
        <v>1901</v>
      </c>
      <c r="F44" s="91" cm="1">
        <f t="array" aca="1" ref="F44" ca="1">COUNTIF(PAIS, "Anguila")</f>
        <v>0</v>
      </c>
      <c r="G44" s="24">
        <f ca="1">Table2[[#This Row],[CONVENIOS]]/$F$258</f>
        <v>0</v>
      </c>
      <c r="N44" s="69" t="s">
        <v>1942</v>
      </c>
      <c r="O44" s="70" cm="1">
        <f t="array" aca="1" ref="O44" ca="1">COUNTIF(PAIS, "Bután")</f>
        <v>0</v>
      </c>
    </row>
    <row r="45" spans="1:16" ht="15.6" x14ac:dyDescent="0.3">
      <c r="E45" s="21" t="s">
        <v>1903</v>
      </c>
      <c r="F45" s="91" cm="1">
        <f t="array" aca="1" ref="F45" ca="1">COUNTIF(PAIS, "Antártida")</f>
        <v>0</v>
      </c>
      <c r="G45" s="24">
        <f ca="1">Table2[[#This Row],[CONVENIOS]]/$F$258</f>
        <v>0</v>
      </c>
      <c r="N45" s="69" t="s">
        <v>1943</v>
      </c>
      <c r="O45" s="70" cm="1">
        <f t="array" aca="1" ref="O45" ca="1">COUNTIF(PAIS, "Cabo Verde")</f>
        <v>0</v>
      </c>
    </row>
    <row r="46" spans="1:16" ht="15.6" x14ac:dyDescent="0.3">
      <c r="E46" s="21" t="s">
        <v>1905</v>
      </c>
      <c r="F46" s="91" cm="1">
        <f t="array" aca="1" ref="F46" ca="1">COUNTIF(PAIS, "Antigua y Barbuda")</f>
        <v>0</v>
      </c>
      <c r="G46" s="24">
        <f ca="1">Table2[[#This Row],[CONVENIOS]]/$F$258</f>
        <v>0</v>
      </c>
      <c r="N46" s="69" t="s">
        <v>1944</v>
      </c>
      <c r="O46" s="70" cm="1">
        <f t="array" aca="1" ref="O46" ca="1">COUNTIF(PAIS, "Camboya")</f>
        <v>0</v>
      </c>
    </row>
    <row r="47" spans="1:16" ht="15.6" x14ac:dyDescent="0.3">
      <c r="E47" s="21" t="s">
        <v>1907</v>
      </c>
      <c r="F47" s="91" cm="1">
        <f t="array" aca="1" ref="F47" ca="1">COUNTIF(PAIS, "Antillas Holandesas")</f>
        <v>0</v>
      </c>
      <c r="G47" s="24">
        <f ca="1">Table2[[#This Row],[CONVENIOS]]/$F$258</f>
        <v>0</v>
      </c>
      <c r="N47" s="69" t="s">
        <v>1945</v>
      </c>
      <c r="O47" s="70" cm="1">
        <f t="array" aca="1" ref="O47" ca="1">COUNTIF(PAIS, "Camerún")</f>
        <v>0</v>
      </c>
    </row>
    <row r="48" spans="1:16" ht="15.6" x14ac:dyDescent="0.3">
      <c r="E48" s="21" t="s">
        <v>1909</v>
      </c>
      <c r="F48" s="91" cm="1">
        <f t="array" aca="1" ref="F48" ca="1">COUNTIF(PAIS, "Arabia Saudita")</f>
        <v>0</v>
      </c>
      <c r="G48" s="24">
        <f ca="1">Table2[[#This Row],[CONVENIOS]]/$F$258</f>
        <v>0</v>
      </c>
      <c r="N48" s="69" t="s">
        <v>51</v>
      </c>
      <c r="O48" s="70" cm="1">
        <f t="array" aca="1" ref="O48" ca="1">COUNTIF(PAIS, "Canadá")</f>
        <v>5</v>
      </c>
    </row>
    <row r="49" spans="5:15" ht="15.6" x14ac:dyDescent="0.3">
      <c r="E49" s="21" t="s">
        <v>1910</v>
      </c>
      <c r="F49" s="91" cm="1">
        <f t="array" aca="1" ref="F49" ca="1">COUNTIF(PAIS, "Argelia")</f>
        <v>0</v>
      </c>
      <c r="G49" s="24">
        <f ca="1">Table2[[#This Row],[CONVENIOS]]/$F$258</f>
        <v>0</v>
      </c>
      <c r="N49" s="69" t="s">
        <v>1946</v>
      </c>
      <c r="O49" s="70" cm="1">
        <f t="array" aca="1" ref="O49" ca="1">COUNTIF(PAIS, "Catar")</f>
        <v>0</v>
      </c>
    </row>
    <row r="50" spans="5:15" ht="15.6" x14ac:dyDescent="0.3">
      <c r="E50" s="21" t="s">
        <v>1912</v>
      </c>
      <c r="F50" s="91" cm="1">
        <f t="array" aca="1" ref="F50" ca="1">COUNTIF(PAIS, "Armenia")</f>
        <v>0</v>
      </c>
      <c r="G50" s="24">
        <f ca="1">Table2[[#This Row],[CONVENIOS]]/$F$258</f>
        <v>0</v>
      </c>
      <c r="N50" s="69" t="s">
        <v>1947</v>
      </c>
      <c r="O50" s="70" cm="1">
        <f t="array" aca="1" ref="O50" ca="1">COUNTIF(PAIS, "Chad")</f>
        <v>0</v>
      </c>
    </row>
    <row r="51" spans="5:15" ht="15.6" x14ac:dyDescent="0.3">
      <c r="E51" s="21" t="s">
        <v>1914</v>
      </c>
      <c r="F51" s="91" cm="1">
        <f t="array" aca="1" ref="F51" ca="1">COUNTIF(PAIS, "Aruba")</f>
        <v>0</v>
      </c>
      <c r="G51" s="24">
        <f ca="1">Table2[[#This Row],[CONVENIOS]]/$F$258</f>
        <v>0</v>
      </c>
      <c r="N51" s="69" t="s">
        <v>181</v>
      </c>
      <c r="O51" s="70" cm="1">
        <f t="array" aca="1" ref="O51" ca="1">COUNTIF(PAIS, "Chile")</f>
        <v>3</v>
      </c>
    </row>
    <row r="52" spans="5:15" ht="15.6" x14ac:dyDescent="0.3">
      <c r="E52" s="21" t="s">
        <v>1915</v>
      </c>
      <c r="F52" s="91" cm="1">
        <f t="array" aca="1" ref="F52" ca="1">COUNTIF(PAIS, "Australia")</f>
        <v>0</v>
      </c>
      <c r="G52" s="24">
        <f ca="1">Table2[[#This Row],[CONVENIOS]]/$F$258</f>
        <v>0</v>
      </c>
      <c r="N52" s="69" t="s">
        <v>1948</v>
      </c>
      <c r="O52" s="70" cm="1">
        <f t="array" aca="1" ref="O52" ca="1">COUNTIF(PAIS, "China")</f>
        <v>0</v>
      </c>
    </row>
    <row r="53" spans="5:15" ht="15.6" x14ac:dyDescent="0.3">
      <c r="E53" s="21" t="s">
        <v>1916</v>
      </c>
      <c r="F53" s="91" cm="1">
        <f t="array" aca="1" ref="F53" ca="1">COUNTIF(PAIS, "Austria")</f>
        <v>0</v>
      </c>
      <c r="G53" s="24">
        <f ca="1">Table2[[#This Row],[CONVENIOS]]/$F$258</f>
        <v>0</v>
      </c>
      <c r="N53" s="69" t="s">
        <v>1949</v>
      </c>
      <c r="O53" s="70" cm="1">
        <f t="array" aca="1" ref="O53" ca="1">COUNTIF(PAIS, "Chipre")</f>
        <v>0</v>
      </c>
    </row>
    <row r="54" spans="5:15" ht="15.6" x14ac:dyDescent="0.3">
      <c r="E54" s="21" t="s">
        <v>1917</v>
      </c>
      <c r="F54" s="91" cm="1">
        <f t="array" aca="1" ref="F54" ca="1">COUNTIF(PAIS, "Azerbaiyán")</f>
        <v>0</v>
      </c>
      <c r="G54" s="24">
        <f ca="1">Table2[[#This Row],[CONVENIOS]]/$F$258</f>
        <v>0</v>
      </c>
      <c r="N54" s="69" t="s">
        <v>73</v>
      </c>
      <c r="O54" s="70" cm="1">
        <f t="array" aca="1" ref="O54" ca="1">COUNTIF(PAIS, "Colombia")</f>
        <v>16</v>
      </c>
    </row>
    <row r="55" spans="5:15" ht="15.6" x14ac:dyDescent="0.3">
      <c r="E55" s="21" t="s">
        <v>1918</v>
      </c>
      <c r="F55" s="91" cm="1">
        <f t="array" aca="1" ref="F55" ca="1">COUNTIF(PAIS, "Bahamas")</f>
        <v>0</v>
      </c>
      <c r="G55" s="24">
        <f ca="1">Table2[[#This Row],[CONVENIOS]]/$F$258</f>
        <v>0</v>
      </c>
      <c r="N55" s="69" t="s">
        <v>1950</v>
      </c>
      <c r="O55" s="70" cm="1">
        <f t="array" aca="1" ref="O55" ca="1">COUNTIF(PAIS, "Comoras")</f>
        <v>0</v>
      </c>
    </row>
    <row r="56" spans="5:15" ht="15.6" x14ac:dyDescent="0.3">
      <c r="E56" s="21" t="s">
        <v>1919</v>
      </c>
      <c r="F56" s="91" cm="1">
        <f t="array" aca="1" ref="F56" ca="1">COUNTIF(PAIS, "Bangladesh")</f>
        <v>0</v>
      </c>
      <c r="G56" s="24">
        <f ca="1">Table2[[#This Row],[CONVENIOS]]/$F$258</f>
        <v>0</v>
      </c>
      <c r="N56" s="69" t="s">
        <v>1951</v>
      </c>
      <c r="O56" s="70" cm="1">
        <f t="array" aca="1" ref="O56" ca="1">COUNTIF(PAIS, "Corea del Norte")</f>
        <v>0</v>
      </c>
    </row>
    <row r="57" spans="5:15" ht="15.6" x14ac:dyDescent="0.3">
      <c r="E57" s="21" t="s">
        <v>1920</v>
      </c>
      <c r="F57" s="91" cm="1">
        <f t="array" aca="1" ref="F57" ca="1">COUNTIF(PAIS, "Barbados")</f>
        <v>0</v>
      </c>
      <c r="G57" s="24">
        <f ca="1">Table2[[#This Row],[CONVENIOS]]/$F$258</f>
        <v>0</v>
      </c>
      <c r="N57" s="69" t="s">
        <v>564</v>
      </c>
      <c r="O57" s="70" cm="1">
        <f t="array" aca="1" ref="O57" ca="1">COUNTIF(PAIS, "Corea del Sur")</f>
        <v>4</v>
      </c>
    </row>
    <row r="58" spans="5:15" ht="15.6" x14ac:dyDescent="0.3">
      <c r="E58" s="21" t="s">
        <v>1921</v>
      </c>
      <c r="F58" s="91" cm="1">
        <f t="array" aca="1" ref="F58" ca="1">COUNTIF(PAIS, "Baréin")</f>
        <v>0</v>
      </c>
      <c r="G58" s="24">
        <f ca="1">Table2[[#This Row],[CONVENIOS]]/$F$258</f>
        <v>0</v>
      </c>
      <c r="N58" s="69" t="s">
        <v>1952</v>
      </c>
      <c r="O58" s="70" cm="1">
        <f t="array" aca="1" ref="O58" ca="1">COUNTIF(PAIS, "Costa de Marfil")</f>
        <v>0</v>
      </c>
    </row>
    <row r="59" spans="5:15" ht="15.6" x14ac:dyDescent="0.3">
      <c r="E59" s="21" t="s">
        <v>1922</v>
      </c>
      <c r="F59" s="91" cm="1">
        <f t="array" aca="1" ref="F59" ca="1">COUNTIF(PAIS, "Bélgica")</f>
        <v>0</v>
      </c>
      <c r="G59" s="24">
        <f ca="1">Table2[[#This Row],[CONVENIOS]]/$F$258</f>
        <v>0</v>
      </c>
      <c r="N59" s="69" t="s">
        <v>94</v>
      </c>
      <c r="O59" s="70" cm="1">
        <f t="array" aca="1" ref="O59" ca="1">COUNTIF(PAIS, "Costa Rica")</f>
        <v>7</v>
      </c>
    </row>
    <row r="60" spans="5:15" ht="15.6" x14ac:dyDescent="0.3">
      <c r="E60" s="21" t="s">
        <v>1924</v>
      </c>
      <c r="F60" s="91" cm="1">
        <f t="array" aca="1" ref="F60" ca="1">COUNTIF(PAIS, "Belice")</f>
        <v>0</v>
      </c>
      <c r="G60" s="24">
        <f ca="1">Table2[[#This Row],[CONVENIOS]]/$F$258</f>
        <v>0</v>
      </c>
      <c r="N60" s="69" t="s">
        <v>1953</v>
      </c>
      <c r="O60" s="70" cm="1">
        <f t="array" aca="1" ref="O60" ca="1">COUNTIF(PAIS, "Croacia")</f>
        <v>0</v>
      </c>
    </row>
    <row r="61" spans="5:15" ht="15.6" x14ac:dyDescent="0.3">
      <c r="E61" s="21" t="s">
        <v>1926</v>
      </c>
      <c r="F61" s="91" cm="1">
        <f t="array" aca="1" ref="F61" ca="1">COUNTIF(PAIS, "Benín")</f>
        <v>0</v>
      </c>
      <c r="G61" s="24">
        <f ca="1">Table2[[#This Row],[CONVENIOS]]/$F$258</f>
        <v>0</v>
      </c>
      <c r="N61" s="69" t="s">
        <v>129</v>
      </c>
      <c r="O61" s="70" cm="1">
        <f t="array" aca="1" ref="O61" ca="1">COUNTIF(PAIS, "Cuba")</f>
        <v>20</v>
      </c>
    </row>
    <row r="62" spans="5:15" ht="15.6" x14ac:dyDescent="0.3">
      <c r="E62" s="21" t="s">
        <v>1928</v>
      </c>
      <c r="F62" s="91" cm="1">
        <f t="array" aca="1" ref="F62" ca="1">COUNTIF(PAIS, "Bermuda")</f>
        <v>0</v>
      </c>
      <c r="G62" s="24">
        <f ca="1">Table2[[#This Row],[CONVENIOS]]/$F$258</f>
        <v>0</v>
      </c>
      <c r="N62" s="69" t="s">
        <v>1954</v>
      </c>
      <c r="O62" s="70" cm="1">
        <f t="array" aca="1" ref="O62" ca="1">COUNTIF(PAIS, "Curazao")</f>
        <v>0</v>
      </c>
    </row>
    <row r="63" spans="5:15" ht="15.6" x14ac:dyDescent="0.3">
      <c r="E63" s="21" t="s">
        <v>1931</v>
      </c>
      <c r="F63" s="91" cm="1">
        <f t="array" aca="1" ref="F63" ca="1">COUNTIF(PAIS, "Bielorrusia")</f>
        <v>0</v>
      </c>
      <c r="G63" s="24">
        <f ca="1">Table2[[#This Row],[CONVENIOS]]/$F$258</f>
        <v>0</v>
      </c>
      <c r="N63" s="69" t="s">
        <v>1955</v>
      </c>
      <c r="O63" s="70" cm="1">
        <f t="array" aca="1" ref="O63" ca="1">COUNTIF(PAIS, "Dinamarca")</f>
        <v>0</v>
      </c>
    </row>
    <row r="64" spans="5:15" ht="15.6" x14ac:dyDescent="0.3">
      <c r="E64" s="21" t="s">
        <v>1935</v>
      </c>
      <c r="F64" s="91" cm="1">
        <f t="array" aca="1" ref="F64" ca="1">COUNTIF(PAIS, "Bonaire, San Eustaquio y Saba")</f>
        <v>0</v>
      </c>
      <c r="G64" s="24">
        <f ca="1">Table2[[#This Row],[CONVENIOS]]/$F$258</f>
        <v>0</v>
      </c>
      <c r="N64" s="69" t="s">
        <v>1956</v>
      </c>
      <c r="O64" s="70" cm="1">
        <f t="array" aca="1" ref="O64" ca="1">COUNTIF(PAIS, "Dominica")</f>
        <v>0</v>
      </c>
    </row>
    <row r="65" spans="5:15" ht="15.6" x14ac:dyDescent="0.3">
      <c r="E65" s="21" t="s">
        <v>1936</v>
      </c>
      <c r="F65" s="91" cm="1">
        <f t="array" aca="1" ref="F65" ca="1">COUNTIF(PAIS, "Bosnia y Herzegovina")</f>
        <v>0</v>
      </c>
      <c r="G65" s="24">
        <f ca="1">Table2[[#This Row],[CONVENIOS]]/$F$258</f>
        <v>0</v>
      </c>
      <c r="N65" s="69" t="s">
        <v>1212</v>
      </c>
      <c r="O65" s="70" cm="1">
        <f t="array" aca="1" ref="O65" ca="1">COUNTIF(PAIS, "Ecuador")</f>
        <v>2</v>
      </c>
    </row>
    <row r="66" spans="5:15" ht="15.6" x14ac:dyDescent="0.3">
      <c r="E66" s="21" t="s">
        <v>1937</v>
      </c>
      <c r="F66" s="91" cm="1">
        <f t="array" aca="1" ref="F66" ca="1">COUNTIF(PAIS, "Botsuana")</f>
        <v>0</v>
      </c>
      <c r="G66" s="24">
        <f ca="1">Table2[[#This Row],[CONVENIOS]]/$F$258</f>
        <v>0</v>
      </c>
      <c r="N66" s="69" t="s">
        <v>1957</v>
      </c>
      <c r="O66" s="70" cm="1">
        <f t="array" aca="1" ref="O66" ca="1">COUNTIF(PAIS, "Egipto")</f>
        <v>0</v>
      </c>
    </row>
    <row r="67" spans="5:15" ht="15.6" x14ac:dyDescent="0.3">
      <c r="E67" s="21" t="s">
        <v>1938</v>
      </c>
      <c r="F67" s="91" cm="1">
        <f t="array" aca="1" ref="F67" ca="1">COUNTIF(PAIS, "Brunei")</f>
        <v>0</v>
      </c>
      <c r="G67" s="24">
        <f ca="1">Table2[[#This Row],[CONVENIOS]]/$F$258</f>
        <v>0</v>
      </c>
      <c r="N67" s="69" t="s">
        <v>682</v>
      </c>
      <c r="O67" s="70" cm="1">
        <f t="array" aca="1" ref="O67" ca="1">COUNTIF(PAIS, "El Salvador")</f>
        <v>4</v>
      </c>
    </row>
    <row r="68" spans="5:15" ht="15.6" x14ac:dyDescent="0.3">
      <c r="E68" s="21" t="s">
        <v>1939</v>
      </c>
      <c r="F68" s="91" cm="1">
        <f t="array" aca="1" ref="F68" ca="1">COUNTIF(PAIS, "Bulgaria")</f>
        <v>0</v>
      </c>
      <c r="G68" s="24">
        <f ca="1">Table2[[#This Row],[CONVENIOS]]/$F$258</f>
        <v>0</v>
      </c>
      <c r="N68" s="69" t="s">
        <v>1958</v>
      </c>
      <c r="O68" s="70" cm="1">
        <f t="array" aca="1" ref="O68" ca="1">COUNTIF(PAIS, "Emiratos Árabes Unidos")</f>
        <v>0</v>
      </c>
    </row>
    <row r="69" spans="5:15" ht="15.6" x14ac:dyDescent="0.3">
      <c r="E69" s="21" t="s">
        <v>1940</v>
      </c>
      <c r="F69" s="91" cm="1">
        <f t="array" aca="1" ref="F69" ca="1">COUNTIF(PAIS, "Burkina Faso")</f>
        <v>0</v>
      </c>
      <c r="G69" s="24">
        <f ca="1">Table2[[#This Row],[CONVENIOS]]/$F$258</f>
        <v>0</v>
      </c>
      <c r="N69" s="69" t="s">
        <v>1959</v>
      </c>
      <c r="O69" s="70" cm="1">
        <f t="array" aca="1" ref="O69" ca="1">COUNTIF(PAIS, "Eritrea")</f>
        <v>0</v>
      </c>
    </row>
    <row r="70" spans="5:15" ht="15.6" x14ac:dyDescent="0.3">
      <c r="E70" s="21" t="s">
        <v>1941</v>
      </c>
      <c r="F70" s="91" cm="1">
        <f t="array" aca="1" ref="F70" ca="1">COUNTIF(PAIS, "Burundi")</f>
        <v>0</v>
      </c>
      <c r="G70" s="24">
        <f ca="1">Table2[[#This Row],[CONVENIOS]]/$F$258</f>
        <v>0</v>
      </c>
      <c r="N70" s="69" t="s">
        <v>1960</v>
      </c>
      <c r="O70" s="70" cm="1">
        <f t="array" aca="1" ref="O70" ca="1">COUNTIF(PAIS, "Eslovaquia")</f>
        <v>0</v>
      </c>
    </row>
    <row r="71" spans="5:15" ht="15.6" x14ac:dyDescent="0.3">
      <c r="E71" s="21" t="s">
        <v>1942</v>
      </c>
      <c r="F71" s="91" cm="1">
        <f t="array" aca="1" ref="F71" ca="1">COUNTIF(PAIS, "Bután")</f>
        <v>0</v>
      </c>
      <c r="G71" s="24">
        <f ca="1">Table2[[#This Row],[CONVENIOS]]/$F$258</f>
        <v>0</v>
      </c>
      <c r="N71" s="69" t="s">
        <v>1961</v>
      </c>
      <c r="O71" s="70" cm="1">
        <f t="array" aca="1" ref="O71" ca="1">COUNTIF(PAIS, "Eslovenia")</f>
        <v>0</v>
      </c>
    </row>
    <row r="72" spans="5:15" ht="15.6" x14ac:dyDescent="0.3">
      <c r="E72" s="21" t="s">
        <v>1943</v>
      </c>
      <c r="F72" s="91" cm="1">
        <f t="array" aca="1" ref="F72" ca="1">COUNTIF(PAIS, "Cabo Verde")</f>
        <v>0</v>
      </c>
      <c r="G72" s="24">
        <f ca="1">Table2[[#This Row],[CONVENIOS]]/$F$258</f>
        <v>0</v>
      </c>
      <c r="N72" s="69" t="s">
        <v>99</v>
      </c>
      <c r="O72" s="70" cm="1">
        <f t="array" aca="1" ref="O72" ca="1">COUNTIF(PAIS, "España")</f>
        <v>72</v>
      </c>
    </row>
    <row r="73" spans="5:15" ht="15.6" x14ac:dyDescent="0.3">
      <c r="E73" s="21" t="s">
        <v>1944</v>
      </c>
      <c r="F73" s="91" cm="1">
        <f t="array" aca="1" ref="F73" ca="1">COUNTIF(PAIS, "Camboya")</f>
        <v>0</v>
      </c>
      <c r="G73" s="24">
        <f ca="1">Table2[[#This Row],[CONVENIOS]]/$F$258</f>
        <v>0</v>
      </c>
      <c r="N73" s="69" t="s">
        <v>86</v>
      </c>
      <c r="O73" s="70" cm="1">
        <f t="array" aca="1" ref="O73" ca="1">COUNTIF(PAIS, "Estados Unidos")</f>
        <v>37</v>
      </c>
    </row>
    <row r="74" spans="5:15" ht="15.6" x14ac:dyDescent="0.3">
      <c r="E74" s="21" t="s">
        <v>1945</v>
      </c>
      <c r="F74" s="91" cm="1">
        <f t="array" aca="1" ref="F74" ca="1">COUNTIF(PAIS, "Camerún")</f>
        <v>0</v>
      </c>
      <c r="G74" s="24">
        <f ca="1">Table2[[#This Row],[CONVENIOS]]/$F$258</f>
        <v>0</v>
      </c>
      <c r="N74" s="69" t="s">
        <v>1962</v>
      </c>
      <c r="O74" s="70" cm="1">
        <f t="array" aca="1" ref="O74" ca="1">COUNTIF(PAIS, "Estonia")</f>
        <v>0</v>
      </c>
    </row>
    <row r="75" spans="5:15" ht="15.6" x14ac:dyDescent="0.3">
      <c r="E75" s="21" t="s">
        <v>1946</v>
      </c>
      <c r="F75" s="91" cm="1">
        <f t="array" aca="1" ref="F75" ca="1">COUNTIF(PAIS, "Catar")</f>
        <v>0</v>
      </c>
      <c r="G75" s="24">
        <f ca="1">Table2[[#This Row],[CONVENIOS]]/$F$258</f>
        <v>0</v>
      </c>
      <c r="N75" s="69" t="s">
        <v>1963</v>
      </c>
      <c r="O75" s="70" cm="1">
        <f t="array" aca="1" ref="O75" ca="1">COUNTIF(PAIS, "Etiopía")</f>
        <v>0</v>
      </c>
    </row>
    <row r="76" spans="5:15" ht="15.6" x14ac:dyDescent="0.3">
      <c r="E76" s="21" t="s">
        <v>1947</v>
      </c>
      <c r="F76" s="91" cm="1">
        <f t="array" aca="1" ref="F76" ca="1">COUNTIF(PAIS, "Chad")</f>
        <v>0</v>
      </c>
      <c r="G76" s="24">
        <f ca="1">Table2[[#This Row],[CONVENIOS]]/$F$258</f>
        <v>0</v>
      </c>
      <c r="N76" s="69" t="s">
        <v>1964</v>
      </c>
      <c r="O76" s="70" cm="1">
        <f t="array" aca="1" ref="O76" ca="1">COUNTIF(PAIS, "Fiji")</f>
        <v>0</v>
      </c>
    </row>
    <row r="77" spans="5:15" ht="15.6" x14ac:dyDescent="0.3">
      <c r="E77" s="21" t="s">
        <v>1948</v>
      </c>
      <c r="F77" s="91" cm="1">
        <f t="array" aca="1" ref="F77" ca="1">COUNTIF(PAIS, "China")</f>
        <v>0</v>
      </c>
      <c r="G77" s="24">
        <f ca="1">Table2[[#This Row],[CONVENIOS]]/$F$258</f>
        <v>0</v>
      </c>
      <c r="N77" s="69" t="s">
        <v>1965</v>
      </c>
      <c r="O77" s="70" cm="1">
        <f t="array" aca="1" ref="O77" ca="1">COUNTIF(PAIS, "Filipinas")</f>
        <v>0</v>
      </c>
    </row>
    <row r="78" spans="5:15" ht="15.6" x14ac:dyDescent="0.3">
      <c r="E78" s="21" t="s">
        <v>1949</v>
      </c>
      <c r="F78" s="91" cm="1">
        <f t="array" aca="1" ref="F78" ca="1">COUNTIF(PAIS, "Chipre")</f>
        <v>0</v>
      </c>
      <c r="G78" s="24">
        <f ca="1">Table2[[#This Row],[CONVENIOS]]/$F$258</f>
        <v>0</v>
      </c>
      <c r="N78" s="69" t="s">
        <v>1966</v>
      </c>
      <c r="O78" s="70" cm="1">
        <f t="array" aca="1" ref="O78" ca="1">COUNTIF(PAIS, "Finlandia")</f>
        <v>0</v>
      </c>
    </row>
    <row r="79" spans="5:15" ht="15.6" x14ac:dyDescent="0.3">
      <c r="E79" s="21" t="s">
        <v>1950</v>
      </c>
      <c r="F79" s="91" cm="1">
        <f t="array" aca="1" ref="F79" ca="1">COUNTIF(PAIS, "Comoras")</f>
        <v>0</v>
      </c>
      <c r="G79" s="24">
        <f ca="1">Table2[[#This Row],[CONVENIOS]]/$F$258</f>
        <v>0</v>
      </c>
      <c r="N79" s="69" t="s">
        <v>359</v>
      </c>
      <c r="O79" s="70" cm="1">
        <f t="array" aca="1" ref="O79" ca="1">COUNTIF(PAIS, "Francia")</f>
        <v>10</v>
      </c>
    </row>
    <row r="80" spans="5:15" ht="15.6" x14ac:dyDescent="0.3">
      <c r="E80" s="21" t="s">
        <v>1951</v>
      </c>
      <c r="F80" s="91" cm="1">
        <f t="array" aca="1" ref="F80" ca="1">COUNTIF(PAIS, "Corea del Norte")</f>
        <v>0</v>
      </c>
      <c r="G80" s="24">
        <f ca="1">Table2[[#This Row],[CONVENIOS]]/$F$258</f>
        <v>0</v>
      </c>
      <c r="N80" s="69" t="s">
        <v>1967</v>
      </c>
      <c r="O80" s="70" cm="1">
        <f t="array" aca="1" ref="O80" ca="1">COUNTIF(PAIS, "Gabón")</f>
        <v>0</v>
      </c>
    </row>
    <row r="81" spans="5:15" ht="15.6" x14ac:dyDescent="0.3">
      <c r="E81" s="21" t="s">
        <v>1952</v>
      </c>
      <c r="F81" s="91" cm="1">
        <f t="array" aca="1" ref="F81" ca="1">COUNTIF(PAIS, "Costa de Marfil")</f>
        <v>0</v>
      </c>
      <c r="G81" s="24">
        <f ca="1">Table2[[#This Row],[CONVENIOS]]/$F$258</f>
        <v>0</v>
      </c>
      <c r="N81" s="69" t="s">
        <v>1968</v>
      </c>
      <c r="O81" s="70" cm="1">
        <f t="array" aca="1" ref="O81" ca="1">COUNTIF(PAIS, "Gambia")</f>
        <v>0</v>
      </c>
    </row>
    <row r="82" spans="5:15" ht="15.6" x14ac:dyDescent="0.3">
      <c r="E82" s="21" t="s">
        <v>1953</v>
      </c>
      <c r="F82" s="91" cm="1">
        <f t="array" aca="1" ref="F82" ca="1">COUNTIF(PAIS, "Croacia")</f>
        <v>0</v>
      </c>
      <c r="G82" s="24">
        <f ca="1">Table2[[#This Row],[CONVENIOS]]/$F$258</f>
        <v>0</v>
      </c>
      <c r="N82" s="69" t="s">
        <v>1969</v>
      </c>
      <c r="O82" s="70" cm="1">
        <f t="array" aca="1" ref="O82" ca="1">COUNTIF(PAIS, "Georgia")</f>
        <v>0</v>
      </c>
    </row>
    <row r="83" spans="5:15" ht="15.6" x14ac:dyDescent="0.3">
      <c r="E83" s="21" t="s">
        <v>1954</v>
      </c>
      <c r="F83" s="91" cm="1">
        <f t="array" aca="1" ref="F83" ca="1">COUNTIF(PAIS, "Curazao")</f>
        <v>0</v>
      </c>
      <c r="G83" s="24">
        <f ca="1">Table2[[#This Row],[CONVENIOS]]/$F$258</f>
        <v>0</v>
      </c>
      <c r="N83" s="69" t="s">
        <v>1970</v>
      </c>
      <c r="O83" s="70" cm="1">
        <f t="array" aca="1" ref="O83" ca="1">COUNTIF(PAIS, "Ghana")</f>
        <v>0</v>
      </c>
    </row>
    <row r="84" spans="5:15" ht="15.6" x14ac:dyDescent="0.3">
      <c r="E84" s="21" t="s">
        <v>1955</v>
      </c>
      <c r="F84" s="91" cm="1">
        <f t="array" aca="1" ref="F84" ca="1">COUNTIF(PAIS, "Dinamarca")</f>
        <v>0</v>
      </c>
      <c r="G84" s="24">
        <f ca="1">Table2[[#This Row],[CONVENIOS]]/$F$258</f>
        <v>0</v>
      </c>
      <c r="N84" s="69" t="s">
        <v>1971</v>
      </c>
      <c r="O84" s="70" cm="1">
        <f t="array" aca="1" ref="O84" ca="1">COUNTIF(PAIS, "Gibraltar")</f>
        <v>0</v>
      </c>
    </row>
    <row r="85" spans="5:15" ht="15.6" x14ac:dyDescent="0.3">
      <c r="E85" s="21" t="s">
        <v>1956</v>
      </c>
      <c r="F85" s="91" cm="1">
        <f t="array" aca="1" ref="F85" ca="1">COUNTIF(PAIS, "Dominica")</f>
        <v>0</v>
      </c>
      <c r="G85" s="24">
        <f ca="1">Table2[[#This Row],[CONVENIOS]]/$F$258</f>
        <v>0</v>
      </c>
      <c r="N85" s="69" t="s">
        <v>1972</v>
      </c>
      <c r="O85" s="70" cm="1">
        <f t="array" aca="1" ref="O85" ca="1">COUNTIF(PAIS, "Granada")</f>
        <v>0</v>
      </c>
    </row>
    <row r="86" spans="5:15" ht="15.6" x14ac:dyDescent="0.3">
      <c r="E86" s="21" t="s">
        <v>1957</v>
      </c>
      <c r="F86" s="91" cm="1">
        <f t="array" aca="1" ref="F86" ca="1">COUNTIF(PAIS, "Egipto")</f>
        <v>0</v>
      </c>
      <c r="G86" s="24">
        <f ca="1">Table2[[#This Row],[CONVENIOS]]/$F$258</f>
        <v>0</v>
      </c>
      <c r="N86" s="69" t="s">
        <v>1973</v>
      </c>
      <c r="O86" s="70" cm="1">
        <f t="array" aca="1" ref="O86" ca="1">COUNTIF(PAIS, "Grecia")</f>
        <v>0</v>
      </c>
    </row>
    <row r="87" spans="5:15" ht="15.6" x14ac:dyDescent="0.3">
      <c r="E87" s="21" t="s">
        <v>1958</v>
      </c>
      <c r="F87" s="91" cm="1">
        <f t="array" aca="1" ref="F87" ca="1">COUNTIF(PAIS, "Emiratos Árabes Unidos")</f>
        <v>0</v>
      </c>
      <c r="G87" s="24">
        <f ca="1">Table2[[#This Row],[CONVENIOS]]/$F$258</f>
        <v>0</v>
      </c>
      <c r="N87" s="69" t="s">
        <v>1974</v>
      </c>
      <c r="O87" s="70" cm="1">
        <f t="array" aca="1" ref="O87" ca="1">COUNTIF(PAIS, "Groenlandia")</f>
        <v>0</v>
      </c>
    </row>
    <row r="88" spans="5:15" ht="15.6" x14ac:dyDescent="0.3">
      <c r="E88" s="21" t="s">
        <v>1959</v>
      </c>
      <c r="F88" s="91" cm="1">
        <f t="array" aca="1" ref="F88" ca="1">COUNTIF(PAIS, "Eritrea")</f>
        <v>0</v>
      </c>
      <c r="G88" s="24">
        <f ca="1">Table2[[#This Row],[CONVENIOS]]/$F$258</f>
        <v>0</v>
      </c>
      <c r="N88" s="69" t="s">
        <v>1975</v>
      </c>
      <c r="O88" s="70" cm="1">
        <f t="array" aca="1" ref="O88" ca="1">COUNTIF(PAIS, "Guadalupe")</f>
        <v>0</v>
      </c>
    </row>
    <row r="89" spans="5:15" ht="15.6" x14ac:dyDescent="0.3">
      <c r="E89" s="21" t="s">
        <v>1960</v>
      </c>
      <c r="F89" s="91" cm="1">
        <f t="array" aca="1" ref="F89" ca="1">COUNTIF(PAIS, "Eslovaquia")</f>
        <v>0</v>
      </c>
      <c r="G89" s="24">
        <f ca="1">Table2[[#This Row],[CONVENIOS]]/$F$258</f>
        <v>0</v>
      </c>
      <c r="N89" s="69" t="s">
        <v>1976</v>
      </c>
      <c r="O89" s="70" cm="1">
        <f t="array" aca="1" ref="O89" ca="1">COUNTIF(PAIS, "Guam")</f>
        <v>0</v>
      </c>
    </row>
    <row r="90" spans="5:15" ht="15.6" x14ac:dyDescent="0.3">
      <c r="E90" s="21" t="s">
        <v>1961</v>
      </c>
      <c r="F90" s="91" cm="1">
        <f t="array" aca="1" ref="F90" ca="1">COUNTIF(PAIS, "Eslovenia")</f>
        <v>0</v>
      </c>
      <c r="G90" s="24">
        <f ca="1">Table2[[#This Row],[CONVENIOS]]/$F$258</f>
        <v>0</v>
      </c>
      <c r="N90" s="69" t="s">
        <v>902</v>
      </c>
      <c r="O90" s="70" cm="1">
        <f t="array" aca="1" ref="O90" ca="1">COUNTIF(PAIS, "Guatemala")</f>
        <v>1</v>
      </c>
    </row>
    <row r="91" spans="5:15" ht="15.6" x14ac:dyDescent="0.3">
      <c r="E91" s="21" t="s">
        <v>1962</v>
      </c>
      <c r="F91" s="91" cm="1">
        <f t="array" aca="1" ref="F91" ca="1">COUNTIF(PAIS, "Estonia")</f>
        <v>0</v>
      </c>
      <c r="G91" s="24">
        <f ca="1">Table2[[#This Row],[CONVENIOS]]/$F$258</f>
        <v>0</v>
      </c>
      <c r="N91" s="69" t="s">
        <v>1977</v>
      </c>
      <c r="O91" s="70" cm="1">
        <f t="array" aca="1" ref="O91" ca="1">COUNTIF(PAIS, "Guayana Francesa")</f>
        <v>0</v>
      </c>
    </row>
    <row r="92" spans="5:15" ht="15.6" x14ac:dyDescent="0.3">
      <c r="E92" s="21" t="s">
        <v>1963</v>
      </c>
      <c r="F92" s="91" cm="1">
        <f t="array" aca="1" ref="F92" ca="1">COUNTIF(PAIS, "Etiopía")</f>
        <v>0</v>
      </c>
      <c r="G92" s="24">
        <f ca="1">Table2[[#This Row],[CONVENIOS]]/$F$258</f>
        <v>0</v>
      </c>
      <c r="N92" s="69" t="s">
        <v>1978</v>
      </c>
      <c r="O92" s="70" cm="1">
        <f t="array" aca="1" ref="O92" ca="1">COUNTIF(PAIS, "Guernsey")</f>
        <v>0</v>
      </c>
    </row>
    <row r="93" spans="5:15" ht="15.6" x14ac:dyDescent="0.3">
      <c r="E93" s="21" t="s">
        <v>1964</v>
      </c>
      <c r="F93" s="91" cm="1">
        <f t="array" aca="1" ref="F93" ca="1">COUNTIF(PAIS, "Fiji")</f>
        <v>0</v>
      </c>
      <c r="G93" s="24">
        <f ca="1">Table2[[#This Row],[CONVENIOS]]/$F$258</f>
        <v>0</v>
      </c>
      <c r="N93" s="69" t="s">
        <v>1979</v>
      </c>
      <c r="O93" s="70" cm="1">
        <f t="array" aca="1" ref="O93" ca="1">COUNTIF(PAIS, "Guinea")</f>
        <v>0</v>
      </c>
    </row>
    <row r="94" spans="5:15" ht="15.6" x14ac:dyDescent="0.3">
      <c r="E94" s="21" t="s">
        <v>1965</v>
      </c>
      <c r="F94" s="91" cm="1">
        <f t="array" aca="1" ref="F94" ca="1">COUNTIF(PAIS, "Filipinas")</f>
        <v>0</v>
      </c>
      <c r="G94" s="24">
        <f ca="1">Table2[[#This Row],[CONVENIOS]]/$F$258</f>
        <v>0</v>
      </c>
      <c r="N94" s="69" t="s">
        <v>1980</v>
      </c>
      <c r="O94" s="70" cm="1">
        <f t="array" aca="1" ref="O94" ca="1">COUNTIF(PAIS, "Guinea Bissau")</f>
        <v>0</v>
      </c>
    </row>
    <row r="95" spans="5:15" ht="15.6" x14ac:dyDescent="0.3">
      <c r="E95" s="21" t="s">
        <v>1966</v>
      </c>
      <c r="F95" s="91" cm="1">
        <f t="array" aca="1" ref="F95" ca="1">COUNTIF(PAIS, "Finlandia")</f>
        <v>0</v>
      </c>
      <c r="G95" s="24">
        <f ca="1">Table2[[#This Row],[CONVENIOS]]/$F$258</f>
        <v>0</v>
      </c>
      <c r="N95" s="69" t="s">
        <v>599</v>
      </c>
      <c r="O95" s="70" cm="1">
        <f t="array" aca="1" ref="O95" ca="1">COUNTIF(PAIS, "Guinea Ecuatorial")</f>
        <v>1</v>
      </c>
    </row>
    <row r="96" spans="5:15" ht="15.6" x14ac:dyDescent="0.3">
      <c r="E96" s="21" t="s">
        <v>1967</v>
      </c>
      <c r="F96" s="91" cm="1">
        <f t="array" aca="1" ref="F96" ca="1">COUNTIF(PAIS, "Gabón")</f>
        <v>0</v>
      </c>
      <c r="G96" s="24">
        <f ca="1">Table2[[#This Row],[CONVENIOS]]/$F$258</f>
        <v>0</v>
      </c>
      <c r="N96" s="69" t="s">
        <v>1981</v>
      </c>
      <c r="O96" s="70" cm="1">
        <f t="array" aca="1" ref="O96" ca="1">COUNTIF(PAIS, "Guyana")</f>
        <v>0</v>
      </c>
    </row>
    <row r="97" spans="5:15" ht="15.6" x14ac:dyDescent="0.3">
      <c r="E97" s="21" t="s">
        <v>1968</v>
      </c>
      <c r="F97" s="91" cm="1">
        <f t="array" aca="1" ref="F97" ca="1">COUNTIF(PAIS, "Gambia")</f>
        <v>0</v>
      </c>
      <c r="G97" s="24">
        <f ca="1">Table2[[#This Row],[CONVENIOS]]/$F$258</f>
        <v>0</v>
      </c>
      <c r="N97" s="69" t="s">
        <v>1982</v>
      </c>
      <c r="O97" s="70" cm="1">
        <f t="array" aca="1" ref="O97" ca="1">COUNTIF(PAIS, "Haití")</f>
        <v>0</v>
      </c>
    </row>
    <row r="98" spans="5:15" ht="15.6" x14ac:dyDescent="0.3">
      <c r="E98" s="21" t="s">
        <v>1969</v>
      </c>
      <c r="F98" s="91" cm="1">
        <f t="array" aca="1" ref="F98" ca="1">COUNTIF(PAIS, "Georgia")</f>
        <v>0</v>
      </c>
      <c r="G98" s="24">
        <f ca="1">Table2[[#This Row],[CONVENIOS]]/$F$258</f>
        <v>0</v>
      </c>
      <c r="N98" s="69" t="s">
        <v>1122</v>
      </c>
      <c r="O98" s="70" cm="1">
        <f t="array" aca="1" ref="O98" ca="1">COUNTIF(PAIS, "Honduras")</f>
        <v>3</v>
      </c>
    </row>
    <row r="99" spans="5:15" ht="15.6" x14ac:dyDescent="0.3">
      <c r="E99" s="21" t="s">
        <v>1970</v>
      </c>
      <c r="F99" s="91" cm="1">
        <f t="array" aca="1" ref="F99" ca="1">COUNTIF(PAIS, "Ghana")</f>
        <v>0</v>
      </c>
      <c r="G99" s="24">
        <f ca="1">Table2[[#This Row],[CONVENIOS]]/$F$258</f>
        <v>0</v>
      </c>
      <c r="N99" s="69" t="s">
        <v>1983</v>
      </c>
      <c r="O99" s="70" cm="1">
        <f t="array" aca="1" ref="O99" ca="1">COUNTIF(PAIS, "Hong Kong")</f>
        <v>0</v>
      </c>
    </row>
    <row r="100" spans="5:15" ht="15.6" x14ac:dyDescent="0.3">
      <c r="E100" s="21" t="s">
        <v>1971</v>
      </c>
      <c r="F100" s="91" cm="1">
        <f t="array" aca="1" ref="F100" ca="1">COUNTIF(PAIS, "Gibraltar")</f>
        <v>0</v>
      </c>
      <c r="G100" s="24">
        <f ca="1">Table2[[#This Row],[CONVENIOS]]/$F$258</f>
        <v>0</v>
      </c>
      <c r="N100" s="69" t="s">
        <v>1984</v>
      </c>
      <c r="O100" s="70" cm="1">
        <f t="array" aca="1" ref="O100" ca="1">COUNTIF(PAIS, "Hungría")</f>
        <v>0</v>
      </c>
    </row>
    <row r="101" spans="5:15" ht="15.6" x14ac:dyDescent="0.3">
      <c r="E101" s="21" t="s">
        <v>1972</v>
      </c>
      <c r="F101" s="91" cm="1">
        <f t="array" aca="1" ref="F101" ca="1">COUNTIF(PAIS, "Granada")</f>
        <v>0</v>
      </c>
      <c r="G101" s="24">
        <f ca="1">Table2[[#This Row],[CONVENIOS]]/$F$258</f>
        <v>0</v>
      </c>
      <c r="N101" s="69" t="s">
        <v>1985</v>
      </c>
      <c r="O101" s="70" cm="1">
        <f t="array" aca="1" ref="O101" ca="1">COUNTIF(PAIS, "India")</f>
        <v>0</v>
      </c>
    </row>
    <row r="102" spans="5:15" ht="15.6" x14ac:dyDescent="0.3">
      <c r="E102" s="21" t="s">
        <v>1973</v>
      </c>
      <c r="F102" s="91" cm="1">
        <f t="array" aca="1" ref="F102" ca="1">COUNTIF(PAIS, "Grecia")</f>
        <v>0</v>
      </c>
      <c r="G102" s="24">
        <f ca="1">Table2[[#This Row],[CONVENIOS]]/$F$258</f>
        <v>0</v>
      </c>
      <c r="N102" s="69" t="s">
        <v>1986</v>
      </c>
      <c r="O102" s="70" cm="1">
        <f t="array" aca="1" ref="O102" ca="1">COUNTIF(PAIS, "Indonesia")</f>
        <v>0</v>
      </c>
    </row>
    <row r="103" spans="5:15" ht="15.6" x14ac:dyDescent="0.3">
      <c r="E103" s="21" t="s">
        <v>1974</v>
      </c>
      <c r="F103" s="91" cm="1">
        <f t="array" aca="1" ref="F103" ca="1">COUNTIF(PAIS, "Groenlandia")</f>
        <v>0</v>
      </c>
      <c r="G103" s="24">
        <f ca="1">Table2[[#This Row],[CONVENIOS]]/$F$258</f>
        <v>0</v>
      </c>
      <c r="N103" s="69" t="s">
        <v>1987</v>
      </c>
      <c r="O103" s="70" cm="1">
        <f t="array" aca="1" ref="O103" ca="1">COUNTIF(PAIS, "Irak")</f>
        <v>0</v>
      </c>
    </row>
    <row r="104" spans="5:15" ht="15.6" x14ac:dyDescent="0.3">
      <c r="E104" s="21" t="s">
        <v>1975</v>
      </c>
      <c r="F104" s="91" cm="1">
        <f t="array" aca="1" ref="F104" ca="1">COUNTIF(PAIS, "Guadalupe")</f>
        <v>0</v>
      </c>
      <c r="G104" s="24">
        <f ca="1">Table2[[#This Row],[CONVENIOS]]/$F$258</f>
        <v>0</v>
      </c>
      <c r="N104" s="69" t="s">
        <v>1988</v>
      </c>
      <c r="O104" s="70" cm="1">
        <f t="array" aca="1" ref="O104" ca="1">COUNTIF(PAIS, "Irán")</f>
        <v>0</v>
      </c>
    </row>
    <row r="105" spans="5:15" ht="15.6" x14ac:dyDescent="0.3">
      <c r="E105" s="21" t="s">
        <v>1976</v>
      </c>
      <c r="F105" s="91" cm="1">
        <f t="array" aca="1" ref="F105" ca="1">COUNTIF(PAIS, "Guam")</f>
        <v>0</v>
      </c>
      <c r="G105" s="24">
        <f ca="1">Table2[[#This Row],[CONVENIOS]]/$F$258</f>
        <v>0</v>
      </c>
      <c r="N105" s="69" t="s">
        <v>1671</v>
      </c>
      <c r="O105" s="70" cm="1">
        <f t="array" aca="1" ref="O105" ca="1">COUNTIF(PAIS, "Irlanda")</f>
        <v>1</v>
      </c>
    </row>
    <row r="106" spans="5:15" ht="15.6" x14ac:dyDescent="0.3">
      <c r="E106" s="21" t="s">
        <v>1977</v>
      </c>
      <c r="F106" s="91" cm="1">
        <f t="array" aca="1" ref="F106" ca="1">COUNTIF(PAIS, "Guayana Francesa")</f>
        <v>0</v>
      </c>
      <c r="G106" s="24">
        <f ca="1">Table2[[#This Row],[CONVENIOS]]/$F$258</f>
        <v>0</v>
      </c>
      <c r="N106" s="69" t="s">
        <v>1989</v>
      </c>
      <c r="O106" s="70" cm="1">
        <f t="array" aca="1" ref="O106" ca="1">COUNTIF(PAIS, "Isla Bouvet")</f>
        <v>0</v>
      </c>
    </row>
    <row r="107" spans="5:15" ht="15.6" x14ac:dyDescent="0.3">
      <c r="E107" s="21" t="s">
        <v>1978</v>
      </c>
      <c r="F107" s="91" cm="1">
        <f t="array" aca="1" ref="F107" ca="1">COUNTIF(PAIS, "Guernsey")</f>
        <v>0</v>
      </c>
      <c r="G107" s="24">
        <f ca="1">Table2[[#This Row],[CONVENIOS]]/$F$258</f>
        <v>0</v>
      </c>
      <c r="N107" s="69" t="s">
        <v>1990</v>
      </c>
      <c r="O107" s="70" cm="1">
        <f t="array" aca="1" ref="O107" ca="1">COUNTIF(PAIS, "Isla de Man")</f>
        <v>0</v>
      </c>
    </row>
    <row r="108" spans="5:15" ht="15.6" x14ac:dyDescent="0.3">
      <c r="E108" s="21" t="s">
        <v>1979</v>
      </c>
      <c r="F108" s="91" cm="1">
        <f t="array" aca="1" ref="F108" ca="1">COUNTIF(PAIS, "Guinea")</f>
        <v>0</v>
      </c>
      <c r="G108" s="24">
        <f ca="1">Table2[[#This Row],[CONVENIOS]]/$F$258</f>
        <v>0</v>
      </c>
      <c r="N108" s="69" t="s">
        <v>1991</v>
      </c>
      <c r="O108" s="70" cm="1">
        <f t="array" aca="1" ref="O108" ca="1">COUNTIF(PAIS, "Isla de Pascua")</f>
        <v>0</v>
      </c>
    </row>
    <row r="109" spans="5:15" ht="15.6" x14ac:dyDescent="0.3">
      <c r="E109" s="21" t="s">
        <v>1980</v>
      </c>
      <c r="F109" s="91" cm="1">
        <f t="array" aca="1" ref="F109" ca="1">COUNTIF(PAIS, "Guinea Bissau")</f>
        <v>0</v>
      </c>
      <c r="G109" s="24">
        <f ca="1">Table2[[#This Row],[CONVENIOS]]/$F$258</f>
        <v>0</v>
      </c>
      <c r="N109" s="69" t="s">
        <v>1992</v>
      </c>
      <c r="O109" s="70" cm="1">
        <f t="array" aca="1" ref="O109" ca="1">COUNTIF(PAIS, "Isla Norfolk")</f>
        <v>0</v>
      </c>
    </row>
    <row r="110" spans="5:15" ht="15.6" x14ac:dyDescent="0.3">
      <c r="E110" s="21" t="s">
        <v>1981</v>
      </c>
      <c r="F110" s="91" cm="1">
        <f t="array" aca="1" ref="F110" ca="1">COUNTIF(PAIS, "Guyana")</f>
        <v>0</v>
      </c>
      <c r="G110" s="24">
        <f ca="1">Table2[[#This Row],[CONVENIOS]]/$F$258</f>
        <v>0</v>
      </c>
      <c r="N110" s="69" t="s">
        <v>1993</v>
      </c>
      <c r="O110" s="70" cm="1">
        <f t="array" aca="1" ref="O110" ca="1">COUNTIF(PAIS, "Islandia")</f>
        <v>0</v>
      </c>
    </row>
    <row r="111" spans="5:15" ht="15.6" x14ac:dyDescent="0.3">
      <c r="E111" s="21" t="s">
        <v>1982</v>
      </c>
      <c r="F111" s="91" cm="1">
        <f t="array" aca="1" ref="F111" ca="1">COUNTIF(PAIS, "Haití")</f>
        <v>0</v>
      </c>
      <c r="G111" s="24">
        <f ca="1">Table2[[#This Row],[CONVENIOS]]/$F$258</f>
        <v>0</v>
      </c>
      <c r="N111" s="69" t="s">
        <v>1994</v>
      </c>
      <c r="O111" s="70" cm="1">
        <f t="array" aca="1" ref="O111" ca="1">COUNTIF(PAIS, "Islas Caimán")</f>
        <v>0</v>
      </c>
    </row>
    <row r="112" spans="5:15" ht="15.6" x14ac:dyDescent="0.3">
      <c r="E112" s="21" t="s">
        <v>1983</v>
      </c>
      <c r="F112" s="91" cm="1">
        <f t="array" aca="1" ref="F112" ca="1">COUNTIF(PAIS, "Hong Kong")</f>
        <v>0</v>
      </c>
      <c r="G112" s="24">
        <f ca="1">Table2[[#This Row],[CONVENIOS]]/$F$258</f>
        <v>0</v>
      </c>
      <c r="N112" s="69" t="s">
        <v>1995</v>
      </c>
      <c r="O112" s="70" cm="1">
        <f t="array" aca="1" ref="O112" ca="1">COUNTIF(PAIS, "Islas Cocos")</f>
        <v>0</v>
      </c>
    </row>
    <row r="113" spans="5:15" ht="15.6" x14ac:dyDescent="0.3">
      <c r="E113" s="21" t="s">
        <v>1984</v>
      </c>
      <c r="F113" s="91" cm="1">
        <f t="array" aca="1" ref="F113" ca="1">COUNTIF(PAIS, "Hungría")</f>
        <v>0</v>
      </c>
      <c r="G113" s="24">
        <f ca="1">Table2[[#This Row],[CONVENIOS]]/$F$258</f>
        <v>0</v>
      </c>
      <c r="N113" s="69" t="s">
        <v>1996</v>
      </c>
      <c r="O113" s="70" cm="1">
        <f t="array" aca="1" ref="O113" ca="1">COUNTIF(PAIS, "Islas Cook")</f>
        <v>0</v>
      </c>
    </row>
    <row r="114" spans="5:15" ht="15.6" x14ac:dyDescent="0.3">
      <c r="E114" s="21" t="s">
        <v>1985</v>
      </c>
      <c r="F114" s="91" cm="1">
        <f t="array" aca="1" ref="F114" ca="1">COUNTIF(PAIS, "India")</f>
        <v>0</v>
      </c>
      <c r="G114" s="24">
        <f ca="1">Table2[[#This Row],[CONVENIOS]]/$F$258</f>
        <v>0</v>
      </c>
      <c r="N114" s="69" t="s">
        <v>1997</v>
      </c>
      <c r="O114" s="70" cm="1">
        <f t="array" aca="1" ref="O114" ca="1">COUNTIF(PAIS, "Islas de Åland")</f>
        <v>0</v>
      </c>
    </row>
    <row r="115" spans="5:15" ht="15.6" x14ac:dyDescent="0.3">
      <c r="E115" s="21" t="s">
        <v>1986</v>
      </c>
      <c r="F115" s="91" cm="1">
        <f t="array" aca="1" ref="F115" ca="1">COUNTIF(PAIS, "Indonesia")</f>
        <v>0</v>
      </c>
      <c r="G115" s="24">
        <f ca="1">Table2[[#This Row],[CONVENIOS]]/$F$258</f>
        <v>0</v>
      </c>
      <c r="N115" s="69" t="s">
        <v>1998</v>
      </c>
      <c r="O115" s="70" cm="1">
        <f t="array" aca="1" ref="O115" ca="1">COUNTIF(PAIS, "Islas Faroe")</f>
        <v>0</v>
      </c>
    </row>
    <row r="116" spans="5:15" ht="15.6" x14ac:dyDescent="0.3">
      <c r="E116" s="21" t="s">
        <v>1987</v>
      </c>
      <c r="F116" s="91" cm="1">
        <f t="array" aca="1" ref="F116" ca="1">COUNTIF(PAIS, "Irak")</f>
        <v>0</v>
      </c>
      <c r="G116" s="24">
        <f ca="1">Table2[[#This Row],[CONVENIOS]]/$F$258</f>
        <v>0</v>
      </c>
      <c r="N116" s="69" t="s">
        <v>1999</v>
      </c>
      <c r="O116" s="70" cm="1">
        <f t="array" aca="1" ref="O116" ca="1">COUNTIF(PAIS, "Islas Georgia del Sur y Sandwich del Sur")</f>
        <v>0</v>
      </c>
    </row>
    <row r="117" spans="5:15" ht="15.6" x14ac:dyDescent="0.3">
      <c r="E117" s="21" t="s">
        <v>1988</v>
      </c>
      <c r="F117" s="91" cm="1">
        <f t="array" aca="1" ref="F117" ca="1">COUNTIF(PAIS, "Irán")</f>
        <v>0</v>
      </c>
      <c r="G117" s="24">
        <f ca="1">Table2[[#This Row],[CONVENIOS]]/$F$258</f>
        <v>0</v>
      </c>
      <c r="N117" s="69" t="s">
        <v>2000</v>
      </c>
      <c r="O117" s="70" cm="1">
        <f t="array" aca="1" ref="O117" ca="1">COUNTIF(PAIS, "Islas Heard y McDonald")</f>
        <v>0</v>
      </c>
    </row>
    <row r="118" spans="5:15" ht="15.6" x14ac:dyDescent="0.3">
      <c r="E118" s="21" t="s">
        <v>1989</v>
      </c>
      <c r="F118" s="91" cm="1">
        <f t="array" aca="1" ref="F118" ca="1">COUNTIF(PAIS, "Isla Bouvet")</f>
        <v>0</v>
      </c>
      <c r="G118" s="24">
        <f ca="1">Table2[[#This Row],[CONVENIOS]]/$F$258</f>
        <v>0</v>
      </c>
      <c r="N118" s="69" t="s">
        <v>2001</v>
      </c>
      <c r="O118" s="70" cm="1">
        <f t="array" aca="1" ref="O118" ca="1">COUNTIF(PAIS, "Islas Malvinas")</f>
        <v>0</v>
      </c>
    </row>
    <row r="119" spans="5:15" ht="15.6" x14ac:dyDescent="0.3">
      <c r="E119" s="21" t="s">
        <v>1990</v>
      </c>
      <c r="F119" s="91" cm="1">
        <f t="array" aca="1" ref="F119" ca="1">COUNTIF(PAIS, "Isla de Man")</f>
        <v>0</v>
      </c>
      <c r="G119" s="24">
        <f ca="1">Table2[[#This Row],[CONVENIOS]]/$F$258</f>
        <v>0</v>
      </c>
      <c r="N119" s="69" t="s">
        <v>2002</v>
      </c>
      <c r="O119" s="70" cm="1">
        <f t="array" aca="1" ref="O119" ca="1">COUNTIF(PAIS, "Islas Marianas del Norte")</f>
        <v>0</v>
      </c>
    </row>
    <row r="120" spans="5:15" ht="15.6" x14ac:dyDescent="0.3">
      <c r="E120" s="21" t="s">
        <v>1991</v>
      </c>
      <c r="F120" s="91" cm="1">
        <f t="array" aca="1" ref="F120" ca="1">COUNTIF(PAIS, "Isla de Pascua")</f>
        <v>0</v>
      </c>
      <c r="G120" s="24">
        <f ca="1">Table2[[#This Row],[CONVENIOS]]/$F$258</f>
        <v>0</v>
      </c>
      <c r="N120" s="69" t="s">
        <v>2003</v>
      </c>
      <c r="O120" s="70" cm="1">
        <f t="array" aca="1" ref="O120" ca="1">COUNTIF(PAIS, "Islas Marshall")</f>
        <v>0</v>
      </c>
    </row>
    <row r="121" spans="5:15" ht="15.6" x14ac:dyDescent="0.3">
      <c r="E121" s="21" t="s">
        <v>1992</v>
      </c>
      <c r="F121" s="91" cm="1">
        <f t="array" aca="1" ref="F121" ca="1">COUNTIF(PAIS, "Isla Norfolk")</f>
        <v>0</v>
      </c>
      <c r="G121" s="24">
        <f ca="1">Table2[[#This Row],[CONVENIOS]]/$F$258</f>
        <v>0</v>
      </c>
      <c r="N121" s="69" t="s">
        <v>2004</v>
      </c>
      <c r="O121" s="70" cm="1">
        <f t="array" aca="1" ref="O121" ca="1">COUNTIF(PAIS, "Islas menores alejadas de los Estados Unidos")</f>
        <v>0</v>
      </c>
    </row>
    <row r="122" spans="5:15" ht="15.6" x14ac:dyDescent="0.3">
      <c r="E122" s="21" t="s">
        <v>1993</v>
      </c>
      <c r="F122" s="91" cm="1">
        <f t="array" aca="1" ref="F122" ca="1">COUNTIF(PAIS, "Islandia")</f>
        <v>0</v>
      </c>
      <c r="G122" s="24">
        <f ca="1">Table2[[#This Row],[CONVENIOS]]/$F$258</f>
        <v>0</v>
      </c>
      <c r="N122" s="69" t="s">
        <v>2005</v>
      </c>
      <c r="O122" s="70" cm="1">
        <f t="array" aca="1" ref="O122" ca="1">COUNTIF(PAIS, "Islas Pitcairn")</f>
        <v>0</v>
      </c>
    </row>
    <row r="123" spans="5:15" ht="15.6" x14ac:dyDescent="0.3">
      <c r="E123" s="21" t="s">
        <v>1994</v>
      </c>
      <c r="F123" s="91" cm="1">
        <f t="array" aca="1" ref="F123" ca="1">COUNTIF(PAIS, "Islas Caimán")</f>
        <v>0</v>
      </c>
      <c r="G123" s="24">
        <f ca="1">Table2[[#This Row],[CONVENIOS]]/$F$258</f>
        <v>0</v>
      </c>
      <c r="N123" s="69" t="s">
        <v>2006</v>
      </c>
      <c r="O123" s="70" cm="1">
        <f t="array" aca="1" ref="O123" ca="1">COUNTIF(PAIS, "Islas Salomón")</f>
        <v>0</v>
      </c>
    </row>
    <row r="124" spans="5:15" ht="15.6" x14ac:dyDescent="0.3">
      <c r="E124" s="21" t="s">
        <v>1995</v>
      </c>
      <c r="F124" s="91" cm="1">
        <f t="array" aca="1" ref="F124" ca="1">COUNTIF(PAIS, "Islas Cocos")</f>
        <v>0</v>
      </c>
      <c r="G124" s="24">
        <f ca="1">Table2[[#This Row],[CONVENIOS]]/$F$258</f>
        <v>0</v>
      </c>
      <c r="N124" s="69" t="s">
        <v>2007</v>
      </c>
      <c r="O124" s="70" cm="1">
        <f t="array" aca="1" ref="O124" ca="1">COUNTIF(PAIS, "Islas Svalbard y Jan Mayen")</f>
        <v>0</v>
      </c>
    </row>
    <row r="125" spans="5:15" ht="15.6" x14ac:dyDescent="0.3">
      <c r="E125" s="21" t="s">
        <v>1996</v>
      </c>
      <c r="F125" s="91" cm="1">
        <f t="array" aca="1" ref="F125" ca="1">COUNTIF(PAIS, "Islas Cook")</f>
        <v>0</v>
      </c>
      <c r="G125" s="24">
        <f ca="1">Table2[[#This Row],[CONVENIOS]]/$F$258</f>
        <v>0</v>
      </c>
      <c r="N125" s="69" t="s">
        <v>2008</v>
      </c>
      <c r="O125" s="70" cm="1">
        <f t="array" aca="1" ref="O125" ca="1">COUNTIF(PAIS, "Islas Tokelau")</f>
        <v>0</v>
      </c>
    </row>
    <row r="126" spans="5:15" ht="15.6" x14ac:dyDescent="0.3">
      <c r="E126" s="21" t="s">
        <v>1997</v>
      </c>
      <c r="F126" s="91" cm="1">
        <f t="array" aca="1" ref="F126" ca="1">COUNTIF(PAIS, "Islas de Åland")</f>
        <v>0</v>
      </c>
      <c r="G126" s="24">
        <f ca="1">Table2[[#This Row],[CONVENIOS]]/$F$258</f>
        <v>0</v>
      </c>
      <c r="N126" s="69" t="s">
        <v>2009</v>
      </c>
      <c r="O126" s="70" cm="1">
        <f t="array" aca="1" ref="O126" ca="1">COUNTIF(PAIS, "Islas Turcos y Caicos")</f>
        <v>0</v>
      </c>
    </row>
    <row r="127" spans="5:15" ht="15.6" x14ac:dyDescent="0.3">
      <c r="E127" s="21" t="s">
        <v>1998</v>
      </c>
      <c r="F127" s="91" cm="1">
        <f t="array" aca="1" ref="F127" ca="1">COUNTIF(PAIS, "Islas Faroe")</f>
        <v>0</v>
      </c>
      <c r="G127" s="24">
        <f ca="1">Table2[[#This Row],[CONVENIOS]]/$F$258</f>
        <v>0</v>
      </c>
      <c r="N127" s="69" t="s">
        <v>2010</v>
      </c>
      <c r="O127" s="70" cm="1">
        <f t="array" aca="1" ref="O127" ca="1">COUNTIF(PAIS, "Islas Vírgenes Británicas")</f>
        <v>0</v>
      </c>
    </row>
    <row r="128" spans="5:15" ht="15.6" x14ac:dyDescent="0.3">
      <c r="E128" s="21" t="s">
        <v>1999</v>
      </c>
      <c r="F128" s="91" cm="1">
        <f t="array" aca="1" ref="F128" ca="1">COUNTIF(PAIS, "Islas Georgia del Sur y Sandwich del Sur")</f>
        <v>0</v>
      </c>
      <c r="G128" s="24">
        <f ca="1">Table2[[#This Row],[CONVENIOS]]/$F$258</f>
        <v>0</v>
      </c>
      <c r="N128" s="69" t="s">
        <v>2011</v>
      </c>
      <c r="O128" s="70" cm="1">
        <f t="array" aca="1" ref="O128" ca="1">COUNTIF(PAIS, "Islas Vírgenes de los EE.UU.")</f>
        <v>0</v>
      </c>
    </row>
    <row r="129" spans="5:15" ht="15.6" x14ac:dyDescent="0.3">
      <c r="E129" s="21" t="s">
        <v>2000</v>
      </c>
      <c r="F129" s="91" cm="1">
        <f t="array" aca="1" ref="F129" ca="1">COUNTIF(PAIS, "Islas Heard y McDonald")</f>
        <v>0</v>
      </c>
      <c r="G129" s="24">
        <f ca="1">Table2[[#This Row],[CONVENIOS]]/$F$258</f>
        <v>0</v>
      </c>
      <c r="N129" s="69" t="s">
        <v>2012</v>
      </c>
      <c r="O129" s="70" cm="1">
        <f t="array" aca="1" ref="O129" ca="1">COUNTIF(PAIS, "Israel")</f>
        <v>0</v>
      </c>
    </row>
    <row r="130" spans="5:15" ht="15.6" x14ac:dyDescent="0.3">
      <c r="E130" s="21" t="s">
        <v>2001</v>
      </c>
      <c r="F130" s="91" cm="1">
        <f t="array" aca="1" ref="F130" ca="1">COUNTIF(PAIS, "Islas Malvinas")</f>
        <v>0</v>
      </c>
      <c r="G130" s="24">
        <f ca="1">Table2[[#This Row],[CONVENIOS]]/$F$258</f>
        <v>0</v>
      </c>
      <c r="N130" s="69" t="s">
        <v>604</v>
      </c>
      <c r="O130" s="70" cm="1">
        <f t="array" aca="1" ref="O130" ca="1">COUNTIF(PAIS, "Italia")</f>
        <v>6</v>
      </c>
    </row>
    <row r="131" spans="5:15" ht="15.6" x14ac:dyDescent="0.3">
      <c r="E131" s="21" t="s">
        <v>2002</v>
      </c>
      <c r="F131" s="91" cm="1">
        <f t="array" aca="1" ref="F131" ca="1">COUNTIF(PAIS, "Islas Marianas del Norte")</f>
        <v>0</v>
      </c>
      <c r="G131" s="24">
        <f ca="1">Table2[[#This Row],[CONVENIOS]]/$F$258</f>
        <v>0</v>
      </c>
      <c r="N131" s="69" t="s">
        <v>2013</v>
      </c>
      <c r="O131" s="70" cm="1">
        <f t="array" aca="1" ref="O131" ca="1">COUNTIF(PAIS, "Jamaica")</f>
        <v>0</v>
      </c>
    </row>
    <row r="132" spans="5:15" ht="15.6" x14ac:dyDescent="0.3">
      <c r="E132" s="21" t="s">
        <v>2003</v>
      </c>
      <c r="F132" s="91" cm="1">
        <f t="array" aca="1" ref="F132" ca="1">COUNTIF(PAIS, "Islas Marshall")</f>
        <v>0</v>
      </c>
      <c r="G132" s="24">
        <f ca="1">Table2[[#This Row],[CONVENIOS]]/$F$258</f>
        <v>0</v>
      </c>
      <c r="N132" s="69" t="s">
        <v>965</v>
      </c>
      <c r="O132" s="70" cm="1">
        <f t="array" aca="1" ref="O132" ca="1">COUNTIF(PAIS, "Japón")</f>
        <v>2</v>
      </c>
    </row>
    <row r="133" spans="5:15" ht="15.6" x14ac:dyDescent="0.3">
      <c r="E133" s="21" t="s">
        <v>2004</v>
      </c>
      <c r="F133" s="91" cm="1">
        <f t="array" aca="1" ref="F133" ca="1">COUNTIF(PAIS, "Islas menores alejadas de los Estados Unidos")</f>
        <v>0</v>
      </c>
      <c r="G133" s="24">
        <f ca="1">Table2[[#This Row],[CONVENIOS]]/$F$258</f>
        <v>0</v>
      </c>
      <c r="N133" s="69" t="s">
        <v>2014</v>
      </c>
      <c r="O133" s="70" cm="1">
        <f t="array" aca="1" ref="O133" ca="1">COUNTIF(PAIS, "Jersey")</f>
        <v>0</v>
      </c>
    </row>
    <row r="134" spans="5:15" ht="15.6" x14ac:dyDescent="0.3">
      <c r="E134" s="21" t="s">
        <v>2005</v>
      </c>
      <c r="F134" s="91" cm="1">
        <f t="array" aca="1" ref="F134" ca="1">COUNTIF(PAIS, "Islas Pitcairn")</f>
        <v>0</v>
      </c>
      <c r="G134" s="24">
        <f ca="1">Table2[[#This Row],[CONVENIOS]]/$F$258</f>
        <v>0</v>
      </c>
      <c r="N134" s="69" t="s">
        <v>2015</v>
      </c>
      <c r="O134" s="70" cm="1">
        <f t="array" aca="1" ref="O134" ca="1">COUNTIF(PAIS, "Jordania")</f>
        <v>0</v>
      </c>
    </row>
    <row r="135" spans="5:15" ht="15.6" x14ac:dyDescent="0.3">
      <c r="E135" s="21" t="s">
        <v>2006</v>
      </c>
      <c r="F135" s="91" cm="1">
        <f t="array" aca="1" ref="F135" ca="1">COUNTIF(PAIS, "Islas Salomón")</f>
        <v>0</v>
      </c>
      <c r="G135" s="24">
        <f ca="1">Table2[[#This Row],[CONVENIOS]]/$F$258</f>
        <v>0</v>
      </c>
      <c r="N135" s="69" t="s">
        <v>2016</v>
      </c>
      <c r="O135" s="70" cm="1">
        <f t="array" aca="1" ref="O135" ca="1">COUNTIF(PAIS, "Kazajistán")</f>
        <v>0</v>
      </c>
    </row>
    <row r="136" spans="5:15" ht="15.6" x14ac:dyDescent="0.3">
      <c r="E136" s="21" t="s">
        <v>2007</v>
      </c>
      <c r="F136" s="91" cm="1">
        <f t="array" aca="1" ref="F136" ca="1">COUNTIF(PAIS, "Islas Svalbard y Jan Mayen")</f>
        <v>0</v>
      </c>
      <c r="G136" s="24">
        <f ca="1">Table2[[#This Row],[CONVENIOS]]/$F$258</f>
        <v>0</v>
      </c>
      <c r="N136" s="69" t="s">
        <v>2017</v>
      </c>
      <c r="O136" s="70" cm="1">
        <f t="array" aca="1" ref="O136" ca="1">COUNTIF(PAIS, "Kenia")</f>
        <v>0</v>
      </c>
    </row>
    <row r="137" spans="5:15" ht="15.6" x14ac:dyDescent="0.3">
      <c r="E137" s="21" t="s">
        <v>2008</v>
      </c>
      <c r="F137" s="91" cm="1">
        <f t="array" aca="1" ref="F137" ca="1">COUNTIF(PAIS, "Islas Tokelau")</f>
        <v>0</v>
      </c>
      <c r="G137" s="24">
        <f ca="1">Table2[[#This Row],[CONVENIOS]]/$F$258</f>
        <v>0</v>
      </c>
      <c r="N137" s="69" t="s">
        <v>2018</v>
      </c>
      <c r="O137" s="70" cm="1">
        <f t="array" aca="1" ref="O137" ca="1">COUNTIF(PAIS, "Kirguistán")</f>
        <v>0</v>
      </c>
    </row>
    <row r="138" spans="5:15" ht="15.6" x14ac:dyDescent="0.3">
      <c r="E138" s="21" t="s">
        <v>2009</v>
      </c>
      <c r="F138" s="91" cm="1">
        <f t="array" aca="1" ref="F138" ca="1">COUNTIF(PAIS, "Islas Turcos y Caicos")</f>
        <v>0</v>
      </c>
      <c r="G138" s="24">
        <f ca="1">Table2[[#This Row],[CONVENIOS]]/$F$258</f>
        <v>0</v>
      </c>
      <c r="N138" s="69" t="s">
        <v>2019</v>
      </c>
      <c r="O138" s="70" cm="1">
        <f t="array" aca="1" ref="O138" ca="1">COUNTIF(PAIS, "Kiribati")</f>
        <v>0</v>
      </c>
    </row>
    <row r="139" spans="5:15" ht="15.6" x14ac:dyDescent="0.3">
      <c r="E139" s="21" t="s">
        <v>2010</v>
      </c>
      <c r="F139" s="91" cm="1">
        <f t="array" aca="1" ref="F139" ca="1">COUNTIF(PAIS, "Islas Vírgenes Británicas")</f>
        <v>0</v>
      </c>
      <c r="G139" s="24">
        <f ca="1">Table2[[#This Row],[CONVENIOS]]/$F$258</f>
        <v>0</v>
      </c>
      <c r="N139" s="69" t="s">
        <v>2020</v>
      </c>
      <c r="O139" s="70" cm="1">
        <f t="array" aca="1" ref="O139" ca="1">COUNTIF(PAIS, "Kosovo")</f>
        <v>0</v>
      </c>
    </row>
    <row r="140" spans="5:15" ht="15.6" x14ac:dyDescent="0.3">
      <c r="E140" s="21" t="s">
        <v>2011</v>
      </c>
      <c r="F140" s="91" cm="1">
        <f t="array" aca="1" ref="F140" ca="1">COUNTIF(PAIS, "Islas Vírgenes de los EE.UU.")</f>
        <v>0</v>
      </c>
      <c r="G140" s="24">
        <f ca="1">Table2[[#This Row],[CONVENIOS]]/$F$258</f>
        <v>0</v>
      </c>
      <c r="N140" s="69" t="s">
        <v>2021</v>
      </c>
      <c r="O140" s="70" cm="1">
        <f t="array" aca="1" ref="O140" ca="1">COUNTIF(PAIS, "Kuwait")</f>
        <v>0</v>
      </c>
    </row>
    <row r="141" spans="5:15" ht="15.6" x14ac:dyDescent="0.3">
      <c r="E141" s="21" t="s">
        <v>2012</v>
      </c>
      <c r="F141" s="91" cm="1">
        <f t="array" aca="1" ref="F141" ca="1">COUNTIF(PAIS, "Israel")</f>
        <v>0</v>
      </c>
      <c r="G141" s="24">
        <f ca="1">Table2[[#This Row],[CONVENIOS]]/$F$258</f>
        <v>0</v>
      </c>
      <c r="N141" s="69" t="s">
        <v>2022</v>
      </c>
      <c r="O141" s="70" cm="1">
        <f t="array" aca="1" ref="O141" ca="1">COUNTIF(PAIS, "Laos")</f>
        <v>0</v>
      </c>
    </row>
    <row r="142" spans="5:15" ht="15.6" x14ac:dyDescent="0.3">
      <c r="E142" s="21" t="s">
        <v>2013</v>
      </c>
      <c r="F142" s="91" cm="1">
        <f t="array" aca="1" ref="F142" ca="1">COUNTIF(PAIS, "Jamaica")</f>
        <v>0</v>
      </c>
      <c r="G142" s="24">
        <f ca="1">Table2[[#This Row],[CONVENIOS]]/$F$258</f>
        <v>0</v>
      </c>
      <c r="N142" s="69" t="s">
        <v>2023</v>
      </c>
      <c r="O142" s="70" cm="1">
        <f t="array" aca="1" ref="O142" ca="1">COUNTIF(PAIS, "Lesoto")</f>
        <v>0</v>
      </c>
    </row>
    <row r="143" spans="5:15" ht="15.6" x14ac:dyDescent="0.3">
      <c r="E143" s="21" t="s">
        <v>2014</v>
      </c>
      <c r="F143" s="91" cm="1">
        <f t="array" aca="1" ref="F143" ca="1">COUNTIF(PAIS, "Jersey")</f>
        <v>0</v>
      </c>
      <c r="G143" s="24">
        <f ca="1">Table2[[#This Row],[CONVENIOS]]/$F$258</f>
        <v>0</v>
      </c>
      <c r="N143" s="69" t="s">
        <v>2024</v>
      </c>
      <c r="O143" s="70" cm="1">
        <f t="array" aca="1" ref="O143" ca="1">COUNTIF(PAIS, "Letonia")</f>
        <v>0</v>
      </c>
    </row>
    <row r="144" spans="5:15" ht="15.6" x14ac:dyDescent="0.3">
      <c r="E144" s="21" t="s">
        <v>2015</v>
      </c>
      <c r="F144" s="91" cm="1">
        <f t="array" aca="1" ref="F144" ca="1">COUNTIF(PAIS, "Jordania")</f>
        <v>0</v>
      </c>
      <c r="G144" s="24">
        <f ca="1">Table2[[#This Row],[CONVENIOS]]/$F$258</f>
        <v>0</v>
      </c>
      <c r="N144" s="69" t="s">
        <v>2025</v>
      </c>
      <c r="O144" s="70" cm="1">
        <f t="array" aca="1" ref="O144" ca="1">COUNTIF(PAIS, "Líbano")</f>
        <v>0</v>
      </c>
    </row>
    <row r="145" spans="5:15" ht="15.6" x14ac:dyDescent="0.3">
      <c r="E145" s="21" t="s">
        <v>2016</v>
      </c>
      <c r="F145" s="91" cm="1">
        <f t="array" aca="1" ref="F145" ca="1">COUNTIF(PAIS, "Kazajistán")</f>
        <v>0</v>
      </c>
      <c r="G145" s="24">
        <f ca="1">Table2[[#This Row],[CONVENIOS]]/$F$258</f>
        <v>0</v>
      </c>
      <c r="N145" s="69" t="s">
        <v>2026</v>
      </c>
      <c r="O145" s="70" cm="1">
        <f t="array" aca="1" ref="O145" ca="1">COUNTIF(PAIS, "Liberia")</f>
        <v>0</v>
      </c>
    </row>
    <row r="146" spans="5:15" ht="15.6" x14ac:dyDescent="0.3">
      <c r="E146" s="21" t="s">
        <v>2017</v>
      </c>
      <c r="F146" s="91" cm="1">
        <f t="array" aca="1" ref="F146" ca="1">COUNTIF(PAIS, "Kenia")</f>
        <v>0</v>
      </c>
      <c r="G146" s="24">
        <f ca="1">Table2[[#This Row],[CONVENIOS]]/$F$258</f>
        <v>0</v>
      </c>
      <c r="N146" s="69" t="s">
        <v>2027</v>
      </c>
      <c r="O146" s="70" cm="1">
        <f t="array" aca="1" ref="O146" ca="1">COUNTIF(PAIS, "Libia")</f>
        <v>0</v>
      </c>
    </row>
    <row r="147" spans="5:15" ht="15.6" x14ac:dyDescent="0.3">
      <c r="E147" s="21" t="s">
        <v>2018</v>
      </c>
      <c r="F147" s="91" cm="1">
        <f t="array" aca="1" ref="F147" ca="1">COUNTIF(PAIS, "Kirguistán")</f>
        <v>0</v>
      </c>
      <c r="G147" s="24">
        <f ca="1">Table2[[#This Row],[CONVENIOS]]/$F$258</f>
        <v>0</v>
      </c>
      <c r="N147" s="69" t="s">
        <v>2028</v>
      </c>
      <c r="O147" s="70" cm="1">
        <f t="array" aca="1" ref="O147" ca="1">COUNTIF(PAIS, "Liechtenstein")</f>
        <v>0</v>
      </c>
    </row>
    <row r="148" spans="5:15" ht="15.6" x14ac:dyDescent="0.3">
      <c r="E148" s="21" t="s">
        <v>2019</v>
      </c>
      <c r="F148" s="91" cm="1">
        <f t="array" aca="1" ref="F148" ca="1">COUNTIF(PAIS, "Kiribati")</f>
        <v>0</v>
      </c>
      <c r="G148" s="24">
        <f ca="1">Table2[[#This Row],[CONVENIOS]]/$F$258</f>
        <v>0</v>
      </c>
      <c r="N148" s="69" t="s">
        <v>2029</v>
      </c>
      <c r="O148" s="70" cm="1">
        <f t="array" aca="1" ref="O148" ca="1">COUNTIF(PAIS, "Lituania")</f>
        <v>0</v>
      </c>
    </row>
    <row r="149" spans="5:15" ht="15.6" x14ac:dyDescent="0.3">
      <c r="E149" s="21" t="s">
        <v>2020</v>
      </c>
      <c r="F149" s="91" cm="1">
        <f t="array" aca="1" ref="F149" ca="1">COUNTIF(PAIS, "Kosovo")</f>
        <v>0</v>
      </c>
      <c r="G149" s="24">
        <f ca="1">Table2[[#This Row],[CONVENIOS]]/$F$258</f>
        <v>0</v>
      </c>
      <c r="N149" s="69" t="s">
        <v>2030</v>
      </c>
      <c r="O149" s="70" cm="1">
        <f t="array" aca="1" ref="O149" ca="1">COUNTIF(PAIS, "Luxemburgo")</f>
        <v>0</v>
      </c>
    </row>
    <row r="150" spans="5:15" ht="15.6" x14ac:dyDescent="0.3">
      <c r="E150" s="21" t="s">
        <v>2021</v>
      </c>
      <c r="F150" s="91" cm="1">
        <f t="array" aca="1" ref="F150" ca="1">COUNTIF(PAIS, "Kuwait")</f>
        <v>0</v>
      </c>
      <c r="G150" s="24">
        <f ca="1">Table2[[#This Row],[CONVENIOS]]/$F$258</f>
        <v>0</v>
      </c>
      <c r="N150" s="69" t="s">
        <v>2031</v>
      </c>
      <c r="O150" s="70" cm="1">
        <f t="array" aca="1" ref="O150" ca="1">COUNTIF(PAIS, "Macao")</f>
        <v>0</v>
      </c>
    </row>
    <row r="151" spans="5:15" ht="15.6" x14ac:dyDescent="0.3">
      <c r="E151" s="21" t="s">
        <v>2022</v>
      </c>
      <c r="F151" s="91" cm="1">
        <f t="array" aca="1" ref="F151" ca="1">COUNTIF(PAIS, "Laos")</f>
        <v>0</v>
      </c>
      <c r="G151" s="24">
        <f ca="1">Table2[[#This Row],[CONVENIOS]]/$F$258</f>
        <v>0</v>
      </c>
      <c r="N151" s="69" t="s">
        <v>2032</v>
      </c>
      <c r="O151" s="70" cm="1">
        <f t="array" aca="1" ref="O151" ca="1">COUNTIF(PAIS, "Macedonia")</f>
        <v>0</v>
      </c>
    </row>
    <row r="152" spans="5:15" ht="15.6" x14ac:dyDescent="0.3">
      <c r="E152" s="21" t="s">
        <v>2023</v>
      </c>
      <c r="F152" s="91" cm="1">
        <f t="array" aca="1" ref="F152" ca="1">COUNTIF(PAIS, "Lesoto")</f>
        <v>0</v>
      </c>
      <c r="G152" s="24">
        <f ca="1">Table2[[#This Row],[CONVENIOS]]/$F$258</f>
        <v>0</v>
      </c>
      <c r="N152" s="69" t="s">
        <v>2033</v>
      </c>
      <c r="O152" s="70" cm="1">
        <f t="array" aca="1" ref="O152" ca="1">COUNTIF(PAIS, "Madagascar")</f>
        <v>0</v>
      </c>
    </row>
    <row r="153" spans="5:15" ht="15.6" x14ac:dyDescent="0.3">
      <c r="E153" s="21" t="s">
        <v>2024</v>
      </c>
      <c r="F153" s="91" cm="1">
        <f t="array" aca="1" ref="F153" ca="1">COUNTIF(PAIS, "Letonia")</f>
        <v>0</v>
      </c>
      <c r="G153" s="24">
        <f ca="1">Table2[[#This Row],[CONVENIOS]]/$F$258</f>
        <v>0</v>
      </c>
      <c r="N153" s="69" t="s">
        <v>2034</v>
      </c>
      <c r="O153" s="70" cm="1">
        <f t="array" aca="1" ref="O153" ca="1">COUNTIF(PAIS, "Malasia")</f>
        <v>0</v>
      </c>
    </row>
    <row r="154" spans="5:15" ht="15.6" x14ac:dyDescent="0.3">
      <c r="E154" s="21" t="s">
        <v>2025</v>
      </c>
      <c r="F154" s="91" cm="1">
        <f t="array" aca="1" ref="F154" ca="1">COUNTIF(PAIS, "Líbano")</f>
        <v>0</v>
      </c>
      <c r="G154" s="24">
        <f ca="1">Table2[[#This Row],[CONVENIOS]]/$F$258</f>
        <v>0</v>
      </c>
      <c r="N154" s="69" t="s">
        <v>2035</v>
      </c>
      <c r="O154" s="70" cm="1">
        <f t="array" aca="1" ref="O154" ca="1">COUNTIF(PAIS, "Malaui")</f>
        <v>0</v>
      </c>
    </row>
    <row r="155" spans="5:15" ht="15.6" x14ac:dyDescent="0.3">
      <c r="E155" s="21" t="s">
        <v>2026</v>
      </c>
      <c r="F155" s="91" cm="1">
        <f t="array" aca="1" ref="F155" ca="1">COUNTIF(PAIS, "Liberia")</f>
        <v>0</v>
      </c>
      <c r="G155" s="24">
        <f ca="1">Table2[[#This Row],[CONVENIOS]]/$F$258</f>
        <v>0</v>
      </c>
      <c r="N155" s="69" t="s">
        <v>2036</v>
      </c>
      <c r="O155" s="70" cm="1">
        <f t="array" aca="1" ref="O155" ca="1">COUNTIF(PAIS, "Maldivas")</f>
        <v>0</v>
      </c>
    </row>
    <row r="156" spans="5:15" ht="15.6" x14ac:dyDescent="0.3">
      <c r="E156" s="21" t="s">
        <v>2027</v>
      </c>
      <c r="F156" s="91" cm="1">
        <f t="array" aca="1" ref="F156" ca="1">COUNTIF(PAIS, "Libia")</f>
        <v>0</v>
      </c>
      <c r="G156" s="24">
        <f ca="1">Table2[[#This Row],[CONVENIOS]]/$F$258</f>
        <v>0</v>
      </c>
      <c r="N156" s="69" t="s">
        <v>2037</v>
      </c>
      <c r="O156" s="70" cm="1">
        <f t="array" aca="1" ref="O156" ca="1">COUNTIF(PAIS,"Malí")</f>
        <v>0</v>
      </c>
    </row>
    <row r="157" spans="5:15" ht="15.6" x14ac:dyDescent="0.3">
      <c r="E157" s="21" t="s">
        <v>2028</v>
      </c>
      <c r="F157" s="91" cm="1">
        <f t="array" aca="1" ref="F157" ca="1">COUNTIF(PAIS, "Liechtenstein")</f>
        <v>0</v>
      </c>
      <c r="G157" s="24">
        <f ca="1">Table2[[#This Row],[CONVENIOS]]/$F$258</f>
        <v>0</v>
      </c>
      <c r="N157" s="69" t="s">
        <v>2038</v>
      </c>
      <c r="O157" s="70" cm="1">
        <f t="array" aca="1" ref="O157" ca="1">COUNTIF(PAIS, "Malta")</f>
        <v>0</v>
      </c>
    </row>
    <row r="158" spans="5:15" ht="15.6" x14ac:dyDescent="0.3">
      <c r="E158" s="21" t="s">
        <v>2029</v>
      </c>
      <c r="F158" s="91" cm="1">
        <f t="array" aca="1" ref="F158" ca="1">COUNTIF(PAIS, "Lituania")</f>
        <v>0</v>
      </c>
      <c r="G158" s="24">
        <f ca="1">Table2[[#This Row],[CONVENIOS]]/$F$258</f>
        <v>0</v>
      </c>
      <c r="N158" s="69" t="s">
        <v>2039</v>
      </c>
      <c r="O158" s="70" cm="1">
        <f t="array" aca="1" ref="O158" ca="1">COUNTIF(PAIS, "Marruecos")</f>
        <v>0</v>
      </c>
    </row>
    <row r="159" spans="5:15" ht="15.6" x14ac:dyDescent="0.3">
      <c r="E159" s="21" t="s">
        <v>2030</v>
      </c>
      <c r="F159" s="91" cm="1">
        <f t="array" aca="1" ref="F159" ca="1">COUNTIF(PAIS, "Luxemburgo")</f>
        <v>0</v>
      </c>
      <c r="G159" s="24">
        <f ca="1">Table2[[#This Row],[CONVENIOS]]/$F$258</f>
        <v>0</v>
      </c>
      <c r="N159" s="69" t="s">
        <v>2040</v>
      </c>
      <c r="O159" s="70" cm="1">
        <f t="array" aca="1" ref="O159" ca="1">COUNTIF(PAIS, "Martinica")</f>
        <v>0</v>
      </c>
    </row>
    <row r="160" spans="5:15" ht="15.6" x14ac:dyDescent="0.3">
      <c r="E160" s="21" t="s">
        <v>2031</v>
      </c>
      <c r="F160" s="91" cm="1">
        <f t="array" aca="1" ref="F160" ca="1">COUNTIF(PAIS, "Macao")</f>
        <v>0</v>
      </c>
      <c r="G160" s="24">
        <f ca="1">Table2[[#This Row],[CONVENIOS]]/$F$258</f>
        <v>0</v>
      </c>
      <c r="N160" s="69" t="s">
        <v>2041</v>
      </c>
      <c r="O160" s="70" cm="1">
        <f t="array" aca="1" ref="O160" ca="1">COUNTIF(PAIS, "Mauricio")</f>
        <v>0</v>
      </c>
    </row>
    <row r="161" spans="5:15" ht="15.6" x14ac:dyDescent="0.3">
      <c r="E161" s="21" t="s">
        <v>2032</v>
      </c>
      <c r="F161" s="91" cm="1">
        <f t="array" aca="1" ref="F161" ca="1">COUNTIF(PAIS, "Macedonia")</f>
        <v>0</v>
      </c>
      <c r="G161" s="24">
        <f ca="1">Table2[[#This Row],[CONVENIOS]]/$F$258</f>
        <v>0</v>
      </c>
      <c r="N161" s="69" t="s">
        <v>2042</v>
      </c>
      <c r="O161" s="70" cm="1">
        <f t="array" aca="1" ref="O161" ca="1">COUNTIF(PAIS, "Mauritania")</f>
        <v>0</v>
      </c>
    </row>
    <row r="162" spans="5:15" ht="15.6" x14ac:dyDescent="0.3">
      <c r="E162" s="21" t="s">
        <v>2033</v>
      </c>
      <c r="F162" s="91" cm="1">
        <f t="array" aca="1" ref="F162" ca="1">COUNTIF(PAIS, "Madagascar")</f>
        <v>0</v>
      </c>
      <c r="G162" s="24">
        <f ca="1">Table2[[#This Row],[CONVENIOS]]/$F$258</f>
        <v>0</v>
      </c>
      <c r="N162" s="69" t="s">
        <v>2043</v>
      </c>
      <c r="O162" s="70" cm="1">
        <f t="array" aca="1" ref="O162" ca="1">COUNTIF(PAIS, "Mayotte")</f>
        <v>0</v>
      </c>
    </row>
    <row r="163" spans="5:15" ht="15.6" x14ac:dyDescent="0.3">
      <c r="E163" s="21" t="s">
        <v>2034</v>
      </c>
      <c r="F163" s="91" cm="1">
        <f t="array" aca="1" ref="F163" ca="1">COUNTIF(PAIS, "Malasia")</f>
        <v>0</v>
      </c>
      <c r="G163" s="24">
        <f ca="1">Table2[[#This Row],[CONVENIOS]]/$F$258</f>
        <v>0</v>
      </c>
      <c r="N163" s="69" t="s">
        <v>43</v>
      </c>
      <c r="O163" s="70" cm="1">
        <f t="array" aca="1" ref="O163" ca="1">COUNTIF(PAIS, "México")</f>
        <v>47</v>
      </c>
    </row>
    <row r="164" spans="5:15" ht="15.6" x14ac:dyDescent="0.3">
      <c r="E164" s="21" t="s">
        <v>2035</v>
      </c>
      <c r="F164" s="91" cm="1">
        <f t="array" aca="1" ref="F164" ca="1">COUNTIF(PAIS, "Malaui")</f>
        <v>0</v>
      </c>
      <c r="G164" s="24">
        <f ca="1">Table2[[#This Row],[CONVENIOS]]/$F$258</f>
        <v>0</v>
      </c>
      <c r="N164" s="69" t="s">
        <v>2044</v>
      </c>
      <c r="O164" s="70" cm="1">
        <f t="array" aca="1" ref="O164" ca="1">COUNTIF(PAIS, "Micronesia")</f>
        <v>0</v>
      </c>
    </row>
    <row r="165" spans="5:15" ht="15.6" x14ac:dyDescent="0.3">
      <c r="E165" s="21" t="s">
        <v>2036</v>
      </c>
      <c r="F165" s="91" cm="1">
        <f t="array" aca="1" ref="F165" ca="1">COUNTIF(PAIS, "Maldivas")</f>
        <v>0</v>
      </c>
      <c r="G165" s="24">
        <f ca="1">Table2[[#This Row],[CONVENIOS]]/$F$258</f>
        <v>0</v>
      </c>
      <c r="N165" s="69" t="s">
        <v>2045</v>
      </c>
      <c r="O165" s="70" cm="1">
        <f t="array" aca="1" ref="O165" ca="1">COUNTIF(PAIS, "Moldavia")</f>
        <v>0</v>
      </c>
    </row>
    <row r="166" spans="5:15" ht="15.6" x14ac:dyDescent="0.3">
      <c r="E166" s="21" t="s">
        <v>2037</v>
      </c>
      <c r="F166" s="91" cm="1">
        <f t="array" aca="1" ref="F166" ca="1">COUNTIF(PAIS,"Malí")</f>
        <v>0</v>
      </c>
      <c r="G166" s="24">
        <f ca="1">Table2[[#This Row],[CONVENIOS]]/$F$258</f>
        <v>0</v>
      </c>
      <c r="N166" s="69" t="s">
        <v>2046</v>
      </c>
      <c r="O166" s="70" cm="1">
        <f t="array" aca="1" ref="O166" ca="1">COUNTIF(PAIS, "Mónaco")</f>
        <v>0</v>
      </c>
    </row>
    <row r="167" spans="5:15" ht="15.6" x14ac:dyDescent="0.3">
      <c r="E167" s="21" t="s">
        <v>2038</v>
      </c>
      <c r="F167" s="91" cm="1">
        <f t="array" aca="1" ref="F167" ca="1">COUNTIF(PAIS, "Malta")</f>
        <v>0</v>
      </c>
      <c r="G167" s="24">
        <f ca="1">Table2[[#This Row],[CONVENIOS]]/$F$258</f>
        <v>0</v>
      </c>
      <c r="N167" s="69" t="s">
        <v>2047</v>
      </c>
      <c r="O167" s="70" cm="1">
        <f t="array" aca="1" ref="O167" ca="1">COUNTIF(PAIS, "Mongolia")</f>
        <v>0</v>
      </c>
    </row>
    <row r="168" spans="5:15" ht="15.6" x14ac:dyDescent="0.3">
      <c r="E168" s="21" t="s">
        <v>2039</v>
      </c>
      <c r="F168" s="91" cm="1">
        <f t="array" aca="1" ref="F168" ca="1">COUNTIF(PAIS, "Marruecos")</f>
        <v>0</v>
      </c>
      <c r="G168" s="24">
        <f ca="1">Table2[[#This Row],[CONVENIOS]]/$F$258</f>
        <v>0</v>
      </c>
      <c r="N168" s="69" t="s">
        <v>2048</v>
      </c>
      <c r="O168" s="70" cm="1">
        <f t="array" aca="1" ref="O168" ca="1">COUNTIF(PAIS, "Montenegro")</f>
        <v>0</v>
      </c>
    </row>
    <row r="169" spans="5:15" ht="15.6" x14ac:dyDescent="0.3">
      <c r="E169" s="21" t="s">
        <v>2040</v>
      </c>
      <c r="F169" s="91" cm="1">
        <f t="array" aca="1" ref="F169" ca="1">COUNTIF(PAIS, "Martinica")</f>
        <v>0</v>
      </c>
      <c r="G169" s="24">
        <f ca="1">Table2[[#This Row],[CONVENIOS]]/$F$258</f>
        <v>0</v>
      </c>
      <c r="N169" s="69" t="s">
        <v>2049</v>
      </c>
      <c r="O169" s="70" cm="1">
        <f t="array" aca="1" ref="O169" ca="1">COUNTIF(PAIS, "Montserrat")</f>
        <v>0</v>
      </c>
    </row>
    <row r="170" spans="5:15" ht="15.6" x14ac:dyDescent="0.3">
      <c r="E170" s="21" t="s">
        <v>2041</v>
      </c>
      <c r="F170" s="91" cm="1">
        <f t="array" aca="1" ref="F170" ca="1">COUNTIF(PAIS, "Mauricio")</f>
        <v>0</v>
      </c>
      <c r="G170" s="24">
        <f ca="1">Table2[[#This Row],[CONVENIOS]]/$F$258</f>
        <v>0</v>
      </c>
      <c r="N170" s="69" t="s">
        <v>2050</v>
      </c>
      <c r="O170" s="70" cm="1">
        <f t="array" aca="1" ref="O170" ca="1">COUNTIF(PAIS, "Mozambique")</f>
        <v>0</v>
      </c>
    </row>
    <row r="171" spans="5:15" ht="15.6" x14ac:dyDescent="0.3">
      <c r="E171" s="21" t="s">
        <v>2042</v>
      </c>
      <c r="F171" s="91" cm="1">
        <f t="array" aca="1" ref="F171" ca="1">COUNTIF(PAIS, "Mauritania")</f>
        <v>0</v>
      </c>
      <c r="G171" s="24">
        <f ca="1">Table2[[#This Row],[CONVENIOS]]/$F$258</f>
        <v>0</v>
      </c>
      <c r="N171" s="69" t="s">
        <v>2051</v>
      </c>
      <c r="O171" s="70" cm="1">
        <f t="array" aca="1" ref="O171" ca="1">COUNTIF(PAIS, "Myanmar")</f>
        <v>0</v>
      </c>
    </row>
    <row r="172" spans="5:15" ht="15.6" x14ac:dyDescent="0.3">
      <c r="E172" s="21" t="s">
        <v>2043</v>
      </c>
      <c r="F172" s="91" cm="1">
        <f t="array" aca="1" ref="F172" ca="1">COUNTIF(PAIS, "Mayotte")</f>
        <v>0</v>
      </c>
      <c r="G172" s="24">
        <f ca="1">Table2[[#This Row],[CONVENIOS]]/$F$258</f>
        <v>0</v>
      </c>
      <c r="N172" s="69" t="s">
        <v>2052</v>
      </c>
      <c r="O172" s="70" cm="1">
        <f t="array" aca="1" ref="O172" ca="1">COUNTIF(PAIS, "Namibia")</f>
        <v>0</v>
      </c>
    </row>
    <row r="173" spans="5:15" ht="15.6" x14ac:dyDescent="0.3">
      <c r="E173" s="21" t="s">
        <v>2044</v>
      </c>
      <c r="F173" s="91" cm="1">
        <f t="array" aca="1" ref="F173" ca="1">COUNTIF(PAIS, "Micronesia")</f>
        <v>0</v>
      </c>
      <c r="G173" s="24">
        <f ca="1">Table2[[#This Row],[CONVENIOS]]/$F$258</f>
        <v>0</v>
      </c>
      <c r="N173" s="69" t="s">
        <v>2053</v>
      </c>
      <c r="O173" s="70" cm="1">
        <f t="array" aca="1" ref="O173" ca="1">COUNTIF(PAIS, "Nauru")</f>
        <v>0</v>
      </c>
    </row>
    <row r="174" spans="5:15" ht="15.6" x14ac:dyDescent="0.3">
      <c r="E174" s="21" t="s">
        <v>2045</v>
      </c>
      <c r="F174" s="91" cm="1">
        <f t="array" aca="1" ref="F174" ca="1">COUNTIF(PAIS, "Moldavia")</f>
        <v>0</v>
      </c>
      <c r="G174" s="24">
        <f ca="1">Table2[[#This Row],[CONVENIOS]]/$F$258</f>
        <v>0</v>
      </c>
      <c r="N174" s="69" t="s">
        <v>2054</v>
      </c>
      <c r="O174" s="70" cm="1">
        <f t="array" aca="1" ref="O174" ca="1">COUNTIF(PAIS, "Nepal")</f>
        <v>0</v>
      </c>
    </row>
    <row r="175" spans="5:15" ht="15.6" x14ac:dyDescent="0.3">
      <c r="E175" s="21" t="s">
        <v>2046</v>
      </c>
      <c r="F175" s="91" cm="1">
        <f t="array" aca="1" ref="F175" ca="1">COUNTIF(PAIS, "Mónaco")</f>
        <v>0</v>
      </c>
      <c r="G175" s="24">
        <f ca="1">Table2[[#This Row],[CONVENIOS]]/$F$258</f>
        <v>0</v>
      </c>
      <c r="N175" s="69" t="s">
        <v>408</v>
      </c>
      <c r="O175" s="70" cm="1">
        <f t="array" aca="1" ref="O175" ca="1">COUNTIF(PAIS, "Nicaragua")</f>
        <v>8</v>
      </c>
    </row>
    <row r="176" spans="5:15" ht="15.6" x14ac:dyDescent="0.3">
      <c r="E176" s="21" t="s">
        <v>2047</v>
      </c>
      <c r="F176" s="91" cm="1">
        <f t="array" aca="1" ref="F176" ca="1">COUNTIF(PAIS, "Mongolia")</f>
        <v>0</v>
      </c>
      <c r="G176" s="24">
        <f ca="1">Table2[[#This Row],[CONVENIOS]]/$F$258</f>
        <v>0</v>
      </c>
      <c r="N176" s="69" t="s">
        <v>2055</v>
      </c>
      <c r="O176" s="70" cm="1">
        <f t="array" aca="1" ref="O176" ca="1">COUNTIF(PAIS, "Níger")</f>
        <v>0</v>
      </c>
    </row>
    <row r="177" spans="5:15" ht="15.6" x14ac:dyDescent="0.3">
      <c r="E177" s="21" t="s">
        <v>2048</v>
      </c>
      <c r="F177" s="91" cm="1">
        <f t="array" aca="1" ref="F177" ca="1">COUNTIF(PAIS, "Montenegro")</f>
        <v>0</v>
      </c>
      <c r="G177" s="24">
        <f ca="1">Table2[[#This Row],[CONVENIOS]]/$F$258</f>
        <v>0</v>
      </c>
      <c r="N177" s="69" t="s">
        <v>2056</v>
      </c>
      <c r="O177" s="70" cm="1">
        <f t="array" aca="1" ref="O177" ca="1">COUNTIF(PAIS, "Nigeria")</f>
        <v>0</v>
      </c>
    </row>
    <row r="178" spans="5:15" ht="15.6" x14ac:dyDescent="0.3">
      <c r="E178" s="21" t="s">
        <v>2049</v>
      </c>
      <c r="F178" s="91" cm="1">
        <f t="array" aca="1" ref="F178" ca="1">COUNTIF(PAIS, "Montserrat")</f>
        <v>0</v>
      </c>
      <c r="G178" s="24">
        <f ca="1">Table2[[#This Row],[CONVENIOS]]/$F$258</f>
        <v>0</v>
      </c>
      <c r="N178" s="69" t="s">
        <v>2057</v>
      </c>
      <c r="O178" s="70" cm="1">
        <f t="array" aca="1" ref="O178" ca="1">COUNTIF(PAIS, "Niue")</f>
        <v>0</v>
      </c>
    </row>
    <row r="179" spans="5:15" ht="15.6" x14ac:dyDescent="0.3">
      <c r="E179" s="21" t="s">
        <v>2050</v>
      </c>
      <c r="F179" s="91" cm="1">
        <f t="array" aca="1" ref="F179" ca="1">COUNTIF(PAIS, "Mozambique")</f>
        <v>0</v>
      </c>
      <c r="G179" s="24">
        <f ca="1">Table2[[#This Row],[CONVENIOS]]/$F$258</f>
        <v>0</v>
      </c>
      <c r="N179" s="69" t="s">
        <v>2058</v>
      </c>
      <c r="O179" s="70" cm="1">
        <f t="array" aca="1" ref="O179" ca="1">COUNTIF(PAIS, "Noruega")</f>
        <v>0</v>
      </c>
    </row>
    <row r="180" spans="5:15" ht="15.6" x14ac:dyDescent="0.3">
      <c r="E180" s="21" t="s">
        <v>2051</v>
      </c>
      <c r="F180" s="91" cm="1">
        <f t="array" aca="1" ref="F180" ca="1">COUNTIF(PAIS, "Myanmar")</f>
        <v>0</v>
      </c>
      <c r="G180" s="24">
        <f ca="1">Table2[[#This Row],[CONVENIOS]]/$F$258</f>
        <v>0</v>
      </c>
      <c r="N180" s="69" t="s">
        <v>2059</v>
      </c>
      <c r="O180" s="70" cm="1">
        <f t="array" aca="1" ref="O180" ca="1">COUNTIF(PAIS, "Nueva Caledonia")</f>
        <v>0</v>
      </c>
    </row>
    <row r="181" spans="5:15" ht="15.6" x14ac:dyDescent="0.3">
      <c r="E181" s="21" t="s">
        <v>2052</v>
      </c>
      <c r="F181" s="91" cm="1">
        <f t="array" aca="1" ref="F181" ca="1">COUNTIF(PAIS, "Namibia")</f>
        <v>0</v>
      </c>
      <c r="G181" s="24">
        <f ca="1">Table2[[#This Row],[CONVENIOS]]/$F$258</f>
        <v>0</v>
      </c>
      <c r="N181" s="69" t="s">
        <v>2060</v>
      </c>
      <c r="O181" s="70" cm="1">
        <f t="array" aca="1" ref="O181" ca="1">COUNTIF(PAIS, "Nueva Zelanda")</f>
        <v>0</v>
      </c>
    </row>
    <row r="182" spans="5:15" ht="15.6" x14ac:dyDescent="0.3">
      <c r="E182" s="21" t="s">
        <v>2053</v>
      </c>
      <c r="F182" s="91" cm="1">
        <f t="array" aca="1" ref="F182" ca="1">COUNTIF(PAIS, "Nauru")</f>
        <v>0</v>
      </c>
      <c r="G182" s="24">
        <f ca="1">Table2[[#This Row],[CONVENIOS]]/$F$258</f>
        <v>0</v>
      </c>
      <c r="N182" s="69" t="s">
        <v>2061</v>
      </c>
      <c r="O182" s="70" cm="1">
        <f t="array" aca="1" ref="O182" ca="1">COUNTIF(PAIS, "Omán")</f>
        <v>0</v>
      </c>
    </row>
    <row r="183" spans="5:15" ht="15.6" x14ac:dyDescent="0.3">
      <c r="E183" s="21" t="s">
        <v>2054</v>
      </c>
      <c r="F183" s="91" cm="1">
        <f t="array" aca="1" ref="F183" ca="1">COUNTIF(PAIS, "Nepal")</f>
        <v>0</v>
      </c>
      <c r="G183" s="24">
        <f ca="1">Table2[[#This Row],[CONVENIOS]]/$F$258</f>
        <v>0</v>
      </c>
      <c r="N183" s="69" t="s">
        <v>1400</v>
      </c>
      <c r="O183" s="70" cm="1">
        <f t="array" aca="1" ref="O183" ca="1">COUNTIF(PAIS, "Países Bajos")</f>
        <v>2</v>
      </c>
    </row>
    <row r="184" spans="5:15" ht="15.6" x14ac:dyDescent="0.3">
      <c r="E184" s="21" t="s">
        <v>2055</v>
      </c>
      <c r="F184" s="91" cm="1">
        <f t="array" aca="1" ref="F184" ca="1">COUNTIF(PAIS, "Níger")</f>
        <v>0</v>
      </c>
      <c r="G184" s="24">
        <f ca="1">Table2[[#This Row],[CONVENIOS]]/$F$258</f>
        <v>0</v>
      </c>
      <c r="N184" s="69" t="s">
        <v>2062</v>
      </c>
      <c r="O184" s="70" cm="1">
        <f t="array" aca="1" ref="O184" ca="1">COUNTIF(PAIS, "Pakistán")</f>
        <v>0</v>
      </c>
    </row>
    <row r="185" spans="5:15" ht="15.6" x14ac:dyDescent="0.3">
      <c r="E185" s="21" t="s">
        <v>2056</v>
      </c>
      <c r="F185" s="91" cm="1">
        <f t="array" aca="1" ref="F185" ca="1">COUNTIF(PAIS, "Nigeria")</f>
        <v>0</v>
      </c>
      <c r="G185" s="24">
        <f ca="1">Table2[[#This Row],[CONVENIOS]]/$F$258</f>
        <v>0</v>
      </c>
      <c r="N185" s="69" t="s">
        <v>2063</v>
      </c>
      <c r="O185" s="70" cm="1">
        <f t="array" aca="1" ref="O185" ca="1">COUNTIF(PAIS, "Palaos")</f>
        <v>0</v>
      </c>
    </row>
    <row r="186" spans="5:15" ht="15.6" x14ac:dyDescent="0.3">
      <c r="E186" s="21" t="s">
        <v>2057</v>
      </c>
      <c r="F186" s="91" cm="1">
        <f t="array" aca="1" ref="F186" ca="1">COUNTIF(PAIS, "Niue")</f>
        <v>0</v>
      </c>
      <c r="G186" s="24">
        <f ca="1">Table2[[#This Row],[CONVENIOS]]/$F$258</f>
        <v>0</v>
      </c>
      <c r="N186" s="69" t="s">
        <v>19</v>
      </c>
      <c r="O186" s="70" cm="1">
        <f t="array" aca="1" ref="O186" ca="1">COUNTIF(PAIS, "Panamá")</f>
        <v>7</v>
      </c>
    </row>
    <row r="187" spans="5:15" ht="15.6" x14ac:dyDescent="0.3">
      <c r="E187" s="21" t="s">
        <v>2058</v>
      </c>
      <c r="F187" s="91" cm="1">
        <f t="array" aca="1" ref="F187" ca="1">COUNTIF(PAIS, "Noruega")</f>
        <v>0</v>
      </c>
      <c r="G187" s="24">
        <f ca="1">Table2[[#This Row],[CONVENIOS]]/$F$258</f>
        <v>0</v>
      </c>
      <c r="N187" s="69" t="s">
        <v>2064</v>
      </c>
      <c r="O187" s="70" cm="1">
        <f t="array" aca="1" ref="O187" ca="1">COUNTIF(PAIS, "Papúa Nueva Guinea")</f>
        <v>0</v>
      </c>
    </row>
    <row r="188" spans="5:15" ht="15.6" x14ac:dyDescent="0.3">
      <c r="E188" s="21" t="s">
        <v>2059</v>
      </c>
      <c r="F188" s="91" cm="1">
        <f t="array" aca="1" ref="F188" ca="1">COUNTIF(PAIS, "Nueva Caledonia")</f>
        <v>0</v>
      </c>
      <c r="G188" s="24">
        <f ca="1">Table2[[#This Row],[CONVENIOS]]/$F$258</f>
        <v>0</v>
      </c>
      <c r="N188" s="69" t="s">
        <v>2065</v>
      </c>
      <c r="O188" s="70" cm="1">
        <f t="array" aca="1" ref="O188" ca="1">COUNTIF(PAIS, "Paraguay")</f>
        <v>0</v>
      </c>
    </row>
    <row r="189" spans="5:15" ht="15.6" x14ac:dyDescent="0.3">
      <c r="E189" s="21" t="s">
        <v>2060</v>
      </c>
      <c r="F189" s="91" cm="1">
        <f t="array" aca="1" ref="F189" ca="1">COUNTIF(PAIS, "Nueva Zelanda")</f>
        <v>0</v>
      </c>
      <c r="G189" s="24">
        <f ca="1">Table2[[#This Row],[CONVENIOS]]/$F$258</f>
        <v>0</v>
      </c>
      <c r="N189" s="69" t="s">
        <v>946</v>
      </c>
      <c r="O189" s="70" cm="1">
        <f t="array" aca="1" ref="O189" ca="1">COUNTIF(PAIS, "Perú")</f>
        <v>1</v>
      </c>
    </row>
    <row r="190" spans="5:15" ht="15.6" x14ac:dyDescent="0.3">
      <c r="E190" s="21" t="s">
        <v>2061</v>
      </c>
      <c r="F190" s="91" cm="1">
        <f t="array" aca="1" ref="F190" ca="1">COUNTIF(PAIS, "Omán")</f>
        <v>0</v>
      </c>
      <c r="G190" s="24">
        <f ca="1">Table2[[#This Row],[CONVENIOS]]/$F$258</f>
        <v>0</v>
      </c>
      <c r="N190" s="69" t="s">
        <v>2066</v>
      </c>
      <c r="O190" s="70" cm="1">
        <f t="array" aca="1" ref="O190" ca="1">COUNTIF(PAIS, "Polinesia Francesa")</f>
        <v>0</v>
      </c>
    </row>
    <row r="191" spans="5:15" ht="15.6" x14ac:dyDescent="0.3">
      <c r="E191" s="21" t="s">
        <v>2062</v>
      </c>
      <c r="F191" s="91" cm="1">
        <f t="array" aca="1" ref="F191" ca="1">COUNTIF(PAIS, "Pakistán")</f>
        <v>0</v>
      </c>
      <c r="G191" s="24">
        <f ca="1">Table2[[#This Row],[CONVENIOS]]/$F$258</f>
        <v>0</v>
      </c>
      <c r="N191" s="69" t="s">
        <v>1042</v>
      </c>
      <c r="O191" s="70" cm="1">
        <f t="array" aca="1" ref="O191" ca="1">COUNTIF(PAIS, "Polonia")</f>
        <v>3</v>
      </c>
    </row>
    <row r="192" spans="5:15" ht="15.6" x14ac:dyDescent="0.3">
      <c r="E192" s="21" t="s">
        <v>2063</v>
      </c>
      <c r="F192" s="91" cm="1">
        <f t="array" aca="1" ref="F192" ca="1">COUNTIF(PAIS, "Palaos")</f>
        <v>0</v>
      </c>
      <c r="G192" s="24">
        <f ca="1">Table2[[#This Row],[CONVENIOS]]/$F$258</f>
        <v>0</v>
      </c>
      <c r="N192" s="69" t="s">
        <v>2067</v>
      </c>
      <c r="O192" s="70" cm="1">
        <f t="array" aca="1" ref="O192" ca="1">COUNTIF(PAIS, "Portugal")</f>
        <v>0</v>
      </c>
    </row>
    <row r="193" spans="5:15" ht="15.6" x14ac:dyDescent="0.3">
      <c r="E193" s="21" t="s">
        <v>2064</v>
      </c>
      <c r="F193" s="91" cm="1">
        <f t="array" aca="1" ref="F193" ca="1">COUNTIF(PAIS, "Papúa Nueva Guinea")</f>
        <v>0</v>
      </c>
      <c r="G193" s="24">
        <f ca="1">Table2[[#This Row],[CONVENIOS]]/$F$258</f>
        <v>0</v>
      </c>
      <c r="N193" s="69" t="s">
        <v>2068</v>
      </c>
      <c r="O193" s="70" cm="1">
        <f t="array" aca="1" ref="O193" ca="1">COUNTIF(PAIS, "Puerto Rico")</f>
        <v>0</v>
      </c>
    </row>
    <row r="194" spans="5:15" ht="15.6" x14ac:dyDescent="0.3">
      <c r="E194" s="21" t="s">
        <v>2065</v>
      </c>
      <c r="F194" s="91" cm="1">
        <f t="array" aca="1" ref="F194" ca="1">COUNTIF(PAIS, "Paraguay")</f>
        <v>0</v>
      </c>
      <c r="G194" s="24">
        <f ca="1">Table2[[#This Row],[CONVENIOS]]/$F$258</f>
        <v>0</v>
      </c>
      <c r="N194" s="69" t="s">
        <v>933</v>
      </c>
      <c r="O194" s="70" cm="1">
        <f t="array" aca="1" ref="O194" ca="1">COUNTIF(PAIS, "Reino Unido")</f>
        <v>1</v>
      </c>
    </row>
    <row r="195" spans="5:15" ht="15.6" x14ac:dyDescent="0.3">
      <c r="E195" s="21" t="s">
        <v>2066</v>
      </c>
      <c r="F195" s="91" cm="1">
        <f t="array" aca="1" ref="F195" ca="1">COUNTIF(PAIS, "Polinesia Francesa")</f>
        <v>0</v>
      </c>
      <c r="G195" s="24">
        <f ca="1">Table2[[#This Row],[CONVENIOS]]/$F$258</f>
        <v>0</v>
      </c>
      <c r="N195" s="69" t="s">
        <v>2069</v>
      </c>
      <c r="O195" s="70" cm="1">
        <f t="array" aca="1" ref="O195" ca="1">COUNTIF(PAIS, "República Checa")</f>
        <v>0</v>
      </c>
    </row>
    <row r="196" spans="5:15" ht="15.6" x14ac:dyDescent="0.3">
      <c r="E196" s="21" t="s">
        <v>2067</v>
      </c>
      <c r="F196" s="91" cm="1">
        <f t="array" aca="1" ref="F196" ca="1">COUNTIF(PAIS, "Portugal")</f>
        <v>0</v>
      </c>
      <c r="G196" s="24">
        <f ca="1">Table2[[#This Row],[CONVENIOS]]/$F$258</f>
        <v>0</v>
      </c>
      <c r="N196" s="69" t="s">
        <v>2070</v>
      </c>
      <c r="O196" s="70" cm="1">
        <f t="array" aca="1" ref="O196" ca="1">COUNTIF(PAIS, "República de África Central")</f>
        <v>0</v>
      </c>
    </row>
    <row r="197" spans="5:15" ht="15.6" x14ac:dyDescent="0.3">
      <c r="E197" s="21" t="s">
        <v>2068</v>
      </c>
      <c r="F197" s="91" cm="1">
        <f t="array" aca="1" ref="F197" ca="1">COUNTIF(PAIS, "Puerto Rico")</f>
        <v>0</v>
      </c>
      <c r="G197" s="24">
        <f ca="1">Table2[[#This Row],[CONVENIOS]]/$F$258</f>
        <v>0</v>
      </c>
      <c r="N197" s="69" t="s">
        <v>2071</v>
      </c>
      <c r="O197" s="70" cm="1">
        <f t="array" aca="1" ref="O197" ca="1">COUNTIF(PAIS, "República del Congo")</f>
        <v>0</v>
      </c>
    </row>
    <row r="198" spans="5:15" ht="15.6" x14ac:dyDescent="0.3">
      <c r="E198" s="21" t="s">
        <v>2069</v>
      </c>
      <c r="F198" s="91" cm="1">
        <f t="array" aca="1" ref="F198" ca="1">COUNTIF(PAIS, "República Checa")</f>
        <v>0</v>
      </c>
      <c r="G198" s="24">
        <f ca="1">Table2[[#This Row],[CONVENIOS]]/$F$258</f>
        <v>0</v>
      </c>
      <c r="N198" s="69" t="s">
        <v>2072</v>
      </c>
      <c r="O198" s="70" cm="1">
        <f t="array" aca="1" ref="O198" ca="1">COUNTIF(PAIS, "República Democrática del Congo")</f>
        <v>0</v>
      </c>
    </row>
    <row r="199" spans="5:15" ht="15.6" x14ac:dyDescent="0.3">
      <c r="E199" s="21" t="s">
        <v>2070</v>
      </c>
      <c r="F199" s="91" cm="1">
        <f t="array" aca="1" ref="F199" ca="1">COUNTIF(PAIS, "República de África Central")</f>
        <v>0</v>
      </c>
      <c r="G199" s="24">
        <f ca="1">Table2[[#This Row],[CONVENIOS]]/$F$258</f>
        <v>0</v>
      </c>
      <c r="N199" s="69" t="s">
        <v>624</v>
      </c>
      <c r="O199" s="70" cm="1">
        <f t="array" aca="1" ref="O199" ca="1">COUNTIF(PAIS, "República Dominicana")</f>
        <v>1</v>
      </c>
    </row>
    <row r="200" spans="5:15" ht="15.6" x14ac:dyDescent="0.3">
      <c r="E200" s="21" t="s">
        <v>2071</v>
      </c>
      <c r="F200" s="91" cm="1">
        <f t="array" aca="1" ref="F200" ca="1">COUNTIF(PAIS, "República del Congo")</f>
        <v>0</v>
      </c>
      <c r="G200" s="24">
        <f ca="1">Table2[[#This Row],[CONVENIOS]]/$F$258</f>
        <v>0</v>
      </c>
      <c r="N200" s="69" t="s">
        <v>2073</v>
      </c>
      <c r="O200" s="70" cm="1">
        <f t="array" aca="1" ref="O200" ca="1">COUNTIF(PAIS, "República Togolesa")</f>
        <v>0</v>
      </c>
    </row>
    <row r="201" spans="5:15" ht="15.6" x14ac:dyDescent="0.3">
      <c r="E201" s="21" t="s">
        <v>2072</v>
      </c>
      <c r="F201" s="91" cm="1">
        <f t="array" aca="1" ref="F201" ca="1">COUNTIF(PAIS, "República Democrática del Congo")</f>
        <v>0</v>
      </c>
      <c r="G201" s="24">
        <f ca="1">Table2[[#This Row],[CONVENIOS]]/$F$258</f>
        <v>0</v>
      </c>
      <c r="N201" s="69" t="s">
        <v>2074</v>
      </c>
      <c r="O201" s="70" cm="1">
        <f t="array" aca="1" ref="O201" ca="1">COUNTIF(PAIS, "Reunión")</f>
        <v>0</v>
      </c>
    </row>
    <row r="202" spans="5:15" ht="15.6" x14ac:dyDescent="0.3">
      <c r="E202" s="21" t="s">
        <v>2073</v>
      </c>
      <c r="F202" s="91" cm="1">
        <f t="array" aca="1" ref="F202" ca="1">COUNTIF(PAIS, "República Togolesa")</f>
        <v>0</v>
      </c>
      <c r="G202" s="24">
        <f ca="1">Table2[[#This Row],[CONVENIOS]]/$F$258</f>
        <v>0</v>
      </c>
      <c r="N202" s="69" t="s">
        <v>2075</v>
      </c>
      <c r="O202" s="70" cm="1">
        <f t="array" aca="1" ref="O202" ca="1">COUNTIF(PAIS, "Ruanda")</f>
        <v>0</v>
      </c>
    </row>
    <row r="203" spans="5:15" ht="15.6" x14ac:dyDescent="0.3">
      <c r="E203" s="21" t="s">
        <v>2074</v>
      </c>
      <c r="F203" s="91" cm="1">
        <f t="array" aca="1" ref="F203" ca="1">COUNTIF(PAIS, "Reunión")</f>
        <v>0</v>
      </c>
      <c r="G203" s="24">
        <f ca="1">Table2[[#This Row],[CONVENIOS]]/$F$258</f>
        <v>0</v>
      </c>
      <c r="N203" s="69" t="s">
        <v>2464</v>
      </c>
      <c r="O203" s="70" cm="1">
        <f t="array" aca="1" ref="O203" ca="1">COUNTIF(PAIS, "Rumania")</f>
        <v>1</v>
      </c>
    </row>
    <row r="204" spans="5:15" ht="15.6" x14ac:dyDescent="0.3">
      <c r="E204" s="21" t="s">
        <v>2075</v>
      </c>
      <c r="F204" s="91" cm="1">
        <f t="array" aca="1" ref="F204" ca="1">COUNTIF(PAIS, "Ruanda")</f>
        <v>0</v>
      </c>
      <c r="G204" s="24">
        <f ca="1">Table2[[#This Row],[CONVENIOS]]/$F$258</f>
        <v>0</v>
      </c>
      <c r="N204" s="69" t="s">
        <v>2077</v>
      </c>
      <c r="O204" s="70" cm="1">
        <f t="array" aca="1" ref="O204" ca="1">COUNTIF(PAIS, "Rusia")</f>
        <v>0</v>
      </c>
    </row>
    <row r="205" spans="5:15" ht="15.6" x14ac:dyDescent="0.3">
      <c r="E205" s="21" t="s">
        <v>2464</v>
      </c>
      <c r="F205" s="91" cm="1">
        <f t="array" aca="1" ref="F205" ca="1">COUNTIF(PAIS, "Rumania")</f>
        <v>1</v>
      </c>
      <c r="G205" s="24">
        <f ca="1">Table2[[#This Row],[CONVENIOS]]/$F$258</f>
        <v>2.5706940874035988E-3</v>
      </c>
      <c r="N205" s="69" t="s">
        <v>2078</v>
      </c>
      <c r="O205" s="70" cm="1">
        <f t="array" aca="1" ref="O205" ca="1">COUNTIF(PAIS, "Sahara Occidental")</f>
        <v>0</v>
      </c>
    </row>
    <row r="206" spans="5:15" ht="15.6" x14ac:dyDescent="0.3">
      <c r="E206" s="21" t="s">
        <v>2077</v>
      </c>
      <c r="F206" s="91" cm="1">
        <f t="array" aca="1" ref="F206" ca="1">COUNTIF(PAIS, "Rusia")</f>
        <v>0</v>
      </c>
      <c r="G206" s="24">
        <f ca="1">Table2[[#This Row],[CONVENIOS]]/$F$258</f>
        <v>0</v>
      </c>
      <c r="N206" s="69" t="s">
        <v>2079</v>
      </c>
      <c r="O206" s="70" cm="1">
        <f t="array" aca="1" ref="O206" ca="1">COUNTIF(PAIS, "Samoa Americana")</f>
        <v>0</v>
      </c>
    </row>
    <row r="207" spans="5:15" ht="15.6" x14ac:dyDescent="0.3">
      <c r="E207" s="21" t="s">
        <v>2078</v>
      </c>
      <c r="F207" s="91" cm="1">
        <f t="array" aca="1" ref="F207" ca="1">COUNTIF(PAIS, "Sahara Occidental")</f>
        <v>0</v>
      </c>
      <c r="G207" s="24">
        <f ca="1">Table2[[#This Row],[CONVENIOS]]/$F$258</f>
        <v>0</v>
      </c>
      <c r="N207" s="69" t="s">
        <v>2080</v>
      </c>
      <c r="O207" s="70" cm="1">
        <f t="array" aca="1" ref="O207" ca="1">COUNTIF(PAIS, "Samoa Occidental")</f>
        <v>0</v>
      </c>
    </row>
    <row r="208" spans="5:15" ht="15.6" x14ac:dyDescent="0.3">
      <c r="E208" s="21" t="s">
        <v>2079</v>
      </c>
      <c r="F208" s="91" cm="1">
        <f t="array" aca="1" ref="F208" ca="1">COUNTIF(PAIS, "Samoa Americana")</f>
        <v>0</v>
      </c>
      <c r="G208" s="24">
        <f ca="1">Table2[[#This Row],[CONVENIOS]]/$F$258</f>
        <v>0</v>
      </c>
      <c r="N208" s="69" t="s">
        <v>2081</v>
      </c>
      <c r="O208" s="70" cm="1">
        <f t="array" aca="1" ref="O208" ca="1">COUNTIF(PAIS, "San Bartolomé")</f>
        <v>0</v>
      </c>
    </row>
    <row r="209" spans="5:15" ht="15.6" x14ac:dyDescent="0.3">
      <c r="E209" s="21" t="s">
        <v>2080</v>
      </c>
      <c r="F209" s="91" cm="1">
        <f t="array" aca="1" ref="F209" ca="1">COUNTIF(PAIS, "Samoa Occidental")</f>
        <v>0</v>
      </c>
      <c r="G209" s="24">
        <f ca="1">Table2[[#This Row],[CONVENIOS]]/$F$258</f>
        <v>0</v>
      </c>
      <c r="N209" s="69" t="s">
        <v>2082</v>
      </c>
      <c r="O209" s="70" cm="1">
        <f t="array" aca="1" ref="O209" ca="1">COUNTIF(PAIS, "San Cristóbal y Nieves")</f>
        <v>0</v>
      </c>
    </row>
    <row r="210" spans="5:15" ht="15.6" x14ac:dyDescent="0.3">
      <c r="E210" s="21" t="s">
        <v>2081</v>
      </c>
      <c r="F210" s="91" cm="1">
        <f t="array" aca="1" ref="F210" ca="1">COUNTIF(PAIS, "San Bartolomé")</f>
        <v>0</v>
      </c>
      <c r="G210" s="24">
        <f ca="1">Table2[[#This Row],[CONVENIOS]]/$F$258</f>
        <v>0</v>
      </c>
      <c r="N210" s="69" t="s">
        <v>2083</v>
      </c>
      <c r="O210" s="70" cm="1">
        <f t="array" aca="1" ref="O210" ca="1">COUNTIF(PAIS, "San Marino")</f>
        <v>0</v>
      </c>
    </row>
    <row r="211" spans="5:15" ht="15.6" x14ac:dyDescent="0.3">
      <c r="E211" s="21" t="s">
        <v>2082</v>
      </c>
      <c r="F211" s="91" cm="1">
        <f t="array" aca="1" ref="F211" ca="1">COUNTIF(PAIS, "San Cristóbal y Nieves")</f>
        <v>0</v>
      </c>
      <c r="G211" s="24">
        <f ca="1">Table2[[#This Row],[CONVENIOS]]/$F$258</f>
        <v>0</v>
      </c>
      <c r="N211" s="69" t="s">
        <v>2084</v>
      </c>
      <c r="O211" s="70" cm="1">
        <f t="array" aca="1" ref="O211" ca="1">COUNTIF(PAIS, "San Martín")</f>
        <v>0</v>
      </c>
    </row>
    <row r="212" spans="5:15" ht="15.6" x14ac:dyDescent="0.3">
      <c r="E212" s="21" t="s">
        <v>2083</v>
      </c>
      <c r="F212" s="91" cm="1">
        <f t="array" aca="1" ref="F212" ca="1">COUNTIF(PAIS, "San Marino")</f>
        <v>0</v>
      </c>
      <c r="G212" s="24">
        <f ca="1">Table2[[#This Row],[CONVENIOS]]/$F$258</f>
        <v>0</v>
      </c>
      <c r="N212" s="69" t="s">
        <v>2085</v>
      </c>
      <c r="O212" s="70" cm="1">
        <f t="array" aca="1" ref="O212" ca="1">COUNTIF(PAIS, "San Martín")</f>
        <v>0</v>
      </c>
    </row>
    <row r="213" spans="5:15" ht="15.6" x14ac:dyDescent="0.3">
      <c r="E213" s="21" t="s">
        <v>2084</v>
      </c>
      <c r="F213" s="91" cm="1">
        <f t="array" aca="1" ref="F213" ca="1">COUNTIF(PAIS, "San Martín")</f>
        <v>0</v>
      </c>
      <c r="G213" s="24">
        <f ca="1">Table2[[#This Row],[CONVENIOS]]/$F$258</f>
        <v>0</v>
      </c>
      <c r="N213" s="69" t="s">
        <v>2086</v>
      </c>
      <c r="O213" s="70" cm="1">
        <f t="array" aca="1" ref="O213" ca="1">COUNTIF(PAIS, "San Pedro y Miguelón")</f>
        <v>0</v>
      </c>
    </row>
    <row r="214" spans="5:15" ht="15.6" x14ac:dyDescent="0.3">
      <c r="E214" s="21" t="s">
        <v>2085</v>
      </c>
      <c r="F214" s="91" cm="1">
        <f t="array" aca="1" ref="F214" ca="1">COUNTIF(PAIS, "San Martín")</f>
        <v>0</v>
      </c>
      <c r="G214" s="24">
        <f ca="1">Table2[[#This Row],[CONVENIOS]]/$F$258</f>
        <v>0</v>
      </c>
      <c r="N214" s="69" t="s">
        <v>2087</v>
      </c>
      <c r="O214" s="70" cm="1">
        <f t="array" aca="1" ref="O214" ca="1">COUNTIF(PAIS, "San Vicente y las Granadinas")</f>
        <v>0</v>
      </c>
    </row>
    <row r="215" spans="5:15" ht="15.6" x14ac:dyDescent="0.3">
      <c r="E215" s="21" t="s">
        <v>2086</v>
      </c>
      <c r="F215" s="91" cm="1">
        <f t="array" aca="1" ref="F215" ca="1">COUNTIF(PAIS, "San Pedro y Miguelón")</f>
        <v>0</v>
      </c>
      <c r="G215" s="24">
        <f ca="1">Table2[[#This Row],[CONVENIOS]]/$F$258</f>
        <v>0</v>
      </c>
      <c r="N215" s="69" t="s">
        <v>2088</v>
      </c>
      <c r="O215" s="70" cm="1">
        <f t="array" aca="1" ref="O215" ca="1">COUNTIF(PAIS, "Santa Elena")</f>
        <v>0</v>
      </c>
    </row>
    <row r="216" spans="5:15" ht="15.6" x14ac:dyDescent="0.3">
      <c r="E216" s="21" t="s">
        <v>2087</v>
      </c>
      <c r="F216" s="91" cm="1">
        <f t="array" aca="1" ref="F216" ca="1">COUNTIF(PAIS, "San Vicente y las Granadinas")</f>
        <v>0</v>
      </c>
      <c r="G216" s="24">
        <f ca="1">Table2[[#This Row],[CONVENIOS]]/$F$258</f>
        <v>0</v>
      </c>
      <c r="N216" s="69" t="s">
        <v>2089</v>
      </c>
      <c r="O216" s="70" cm="1">
        <f t="array" aca="1" ref="O216" ca="1">COUNTIF(PAIS, "Santa Lucía")</f>
        <v>0</v>
      </c>
    </row>
    <row r="217" spans="5:15" ht="15.6" x14ac:dyDescent="0.3">
      <c r="E217" s="21" t="s">
        <v>2088</v>
      </c>
      <c r="F217" s="91" cm="1">
        <f t="array" aca="1" ref="F217" ca="1">COUNTIF(PAIS, "Santa Elena")</f>
        <v>0</v>
      </c>
      <c r="G217" s="24">
        <f ca="1">Table2[[#This Row],[CONVENIOS]]/$F$258</f>
        <v>0</v>
      </c>
      <c r="N217" s="69" t="s">
        <v>2090</v>
      </c>
      <c r="O217" s="70" cm="1">
        <f t="array" aca="1" ref="O217" ca="1">COUNTIF(PAIS, "Santo Tomé y Príncipe")</f>
        <v>0</v>
      </c>
    </row>
    <row r="218" spans="5:15" ht="15.6" x14ac:dyDescent="0.3">
      <c r="E218" s="21" t="s">
        <v>2089</v>
      </c>
      <c r="F218" s="91" cm="1">
        <f t="array" aca="1" ref="F218" ca="1">COUNTIF(PAIS, "Santa Lucía")</f>
        <v>0</v>
      </c>
      <c r="G218" s="24">
        <f ca="1">Table2[[#This Row],[CONVENIOS]]/$F$258</f>
        <v>0</v>
      </c>
      <c r="N218" s="69" t="s">
        <v>2091</v>
      </c>
      <c r="O218" s="70" cm="1">
        <f t="array" aca="1" ref="O218" ca="1">COUNTIF(PAIS, "Senegal")</f>
        <v>0</v>
      </c>
    </row>
    <row r="219" spans="5:15" ht="15.6" x14ac:dyDescent="0.3">
      <c r="E219" s="21" t="s">
        <v>2090</v>
      </c>
      <c r="F219" s="91" cm="1">
        <f t="array" aca="1" ref="F219" ca="1">COUNTIF(PAIS, "Santo Tomé y Príncipe")</f>
        <v>0</v>
      </c>
      <c r="G219" s="24">
        <f ca="1">Table2[[#This Row],[CONVENIOS]]/$F$258</f>
        <v>0</v>
      </c>
      <c r="N219" s="69" t="s">
        <v>2092</v>
      </c>
      <c r="O219" s="70" cm="1">
        <f t="array" aca="1" ref="O219" ca="1">COUNTIF(PAIS, "Serbia")</f>
        <v>0</v>
      </c>
    </row>
    <row r="220" spans="5:15" ht="15.6" x14ac:dyDescent="0.3">
      <c r="E220" s="21" t="s">
        <v>2091</v>
      </c>
      <c r="F220" s="91" cm="1">
        <f t="array" aca="1" ref="F220" ca="1">COUNTIF(PAIS, "Senegal")</f>
        <v>0</v>
      </c>
      <c r="G220" s="24">
        <f ca="1">Table2[[#This Row],[CONVENIOS]]/$F$258</f>
        <v>0</v>
      </c>
      <c r="N220" s="69" t="s">
        <v>2093</v>
      </c>
      <c r="O220" s="70" cm="1">
        <f t="array" aca="1" ref="O220" ca="1">COUNTIF(PAIS, "Serbia y Montenegro")</f>
        <v>0</v>
      </c>
    </row>
    <row r="221" spans="5:15" ht="15.6" x14ac:dyDescent="0.3">
      <c r="E221" s="21" t="s">
        <v>2092</v>
      </c>
      <c r="F221" s="91" cm="1">
        <f t="array" aca="1" ref="F221" ca="1">COUNTIF(PAIS, "Serbia")</f>
        <v>0</v>
      </c>
      <c r="G221" s="24">
        <f ca="1">Table2[[#This Row],[CONVENIOS]]/$F$258</f>
        <v>0</v>
      </c>
      <c r="N221" s="69" t="s">
        <v>2094</v>
      </c>
      <c r="O221" s="70" cm="1">
        <f t="array" aca="1" ref="O221" ca="1">COUNTIF(PAIS, "Seychelles")</f>
        <v>0</v>
      </c>
    </row>
    <row r="222" spans="5:15" ht="15.6" x14ac:dyDescent="0.3">
      <c r="E222" s="21" t="s">
        <v>2093</v>
      </c>
      <c r="F222" s="91" cm="1">
        <f t="array" aca="1" ref="F222" ca="1">COUNTIF(PAIS, "Serbia y Montenegro")</f>
        <v>0</v>
      </c>
      <c r="G222" s="24">
        <f ca="1">Table2[[#This Row],[CONVENIOS]]/$F$258</f>
        <v>0</v>
      </c>
      <c r="N222" s="69" t="s">
        <v>2095</v>
      </c>
      <c r="O222" s="70" cm="1">
        <f t="array" aca="1" ref="O222" ca="1">COUNTIF(PAIS, "Sierra Leona")</f>
        <v>0</v>
      </c>
    </row>
    <row r="223" spans="5:15" ht="15.6" x14ac:dyDescent="0.3">
      <c r="E223" s="21" t="s">
        <v>2094</v>
      </c>
      <c r="F223" s="91" cm="1">
        <f t="array" aca="1" ref="F223" ca="1">COUNTIF(PAIS, "Seychelles")</f>
        <v>0</v>
      </c>
      <c r="G223" s="24">
        <f ca="1">Table2[[#This Row],[CONVENIOS]]/$F$258</f>
        <v>0</v>
      </c>
      <c r="N223" s="69" t="s">
        <v>2096</v>
      </c>
      <c r="O223" s="70" cm="1">
        <f t="array" aca="1" ref="O223" ca="1">COUNTIF(PAIS, "Singapur")</f>
        <v>0</v>
      </c>
    </row>
    <row r="224" spans="5:15" ht="15.6" x14ac:dyDescent="0.3">
      <c r="E224" s="21" t="s">
        <v>2095</v>
      </c>
      <c r="F224" s="91" cm="1">
        <f t="array" aca="1" ref="F224" ca="1">COUNTIF(PAIS, "Sierra Leona")</f>
        <v>0</v>
      </c>
      <c r="G224" s="24">
        <f ca="1">Table2[[#This Row],[CONVENIOS]]/$F$258</f>
        <v>0</v>
      </c>
      <c r="N224" s="69" t="s">
        <v>2097</v>
      </c>
      <c r="O224" s="70" cm="1">
        <f t="array" aca="1" ref="O224" ca="1">COUNTIF(PAIS, "Siria")</f>
        <v>0</v>
      </c>
    </row>
    <row r="225" spans="5:15" ht="15.6" x14ac:dyDescent="0.3">
      <c r="E225" s="21" t="s">
        <v>2096</v>
      </c>
      <c r="F225" s="91" cm="1">
        <f t="array" aca="1" ref="F225" ca="1">COUNTIF(PAIS, "Singapur")</f>
        <v>0</v>
      </c>
      <c r="G225" s="24">
        <f ca="1">Table2[[#This Row],[CONVENIOS]]/$F$258</f>
        <v>0</v>
      </c>
      <c r="N225" s="69" t="s">
        <v>2098</v>
      </c>
      <c r="O225" s="70" cm="1">
        <f t="array" aca="1" ref="O225" ca="1">COUNTIF(PAIS, "Somalia")</f>
        <v>0</v>
      </c>
    </row>
    <row r="226" spans="5:15" ht="15.6" x14ac:dyDescent="0.3">
      <c r="E226" s="21" t="s">
        <v>2097</v>
      </c>
      <c r="F226" s="91" cm="1">
        <f t="array" aca="1" ref="F226" ca="1">COUNTIF(PAIS, "Siria")</f>
        <v>0</v>
      </c>
      <c r="G226" s="24">
        <f ca="1">Table2[[#This Row],[CONVENIOS]]/$F$258</f>
        <v>0</v>
      </c>
      <c r="N226" s="69" t="s">
        <v>2099</v>
      </c>
      <c r="O226" s="70" cm="1">
        <f t="array" aca="1" ref="O226" ca="1">COUNTIF(PAIS, "Sri Lanka")</f>
        <v>0</v>
      </c>
    </row>
    <row r="227" spans="5:15" ht="15.6" x14ac:dyDescent="0.3">
      <c r="E227" s="21" t="s">
        <v>2098</v>
      </c>
      <c r="F227" s="91" cm="1">
        <f t="array" aca="1" ref="F227" ca="1">COUNTIF(PAIS, "Somalia")</f>
        <v>0</v>
      </c>
      <c r="G227" s="24">
        <f ca="1">Table2[[#This Row],[CONVENIOS]]/$F$258</f>
        <v>0</v>
      </c>
      <c r="N227" s="69" t="s">
        <v>2100</v>
      </c>
      <c r="O227" s="70" cm="1">
        <f t="array" aca="1" ref="O227" ca="1">COUNTIF(PAIS, "Suazilandia")</f>
        <v>0</v>
      </c>
    </row>
    <row r="228" spans="5:15" ht="15.6" x14ac:dyDescent="0.3">
      <c r="E228" s="21" t="s">
        <v>2099</v>
      </c>
      <c r="F228" s="91" cm="1">
        <f t="array" aca="1" ref="F228" ca="1">COUNTIF(PAIS, "Sri Lanka")</f>
        <v>0</v>
      </c>
      <c r="G228" s="24">
        <f ca="1">Table2[[#This Row],[CONVENIOS]]/$F$258</f>
        <v>0</v>
      </c>
      <c r="N228" s="69" t="s">
        <v>2101</v>
      </c>
      <c r="O228" s="70" cm="1">
        <f t="array" aca="1" ref="O228" ca="1">COUNTIF(PAIS, "Sudáfrica")</f>
        <v>0</v>
      </c>
    </row>
    <row r="229" spans="5:15" ht="15.6" x14ac:dyDescent="0.3">
      <c r="E229" s="21" t="s">
        <v>2100</v>
      </c>
      <c r="F229" s="91" cm="1">
        <f t="array" aca="1" ref="F229" ca="1">COUNTIF(PAIS, "Suazilandia")</f>
        <v>0</v>
      </c>
      <c r="G229" s="24">
        <f ca="1">Table2[[#This Row],[CONVENIOS]]/$F$258</f>
        <v>0</v>
      </c>
      <c r="N229" s="69" t="s">
        <v>2102</v>
      </c>
      <c r="O229" s="70" cm="1">
        <f t="array" aca="1" ref="O229" ca="1">COUNTIF(PAIS, "Sudán")</f>
        <v>0</v>
      </c>
    </row>
    <row r="230" spans="5:15" ht="15.6" x14ac:dyDescent="0.3">
      <c r="E230" s="21" t="s">
        <v>2101</v>
      </c>
      <c r="F230" s="91" cm="1">
        <f t="array" aca="1" ref="F230" ca="1">COUNTIF(PAIS, "Sudáfrica")</f>
        <v>0</v>
      </c>
      <c r="G230" s="24">
        <f ca="1">Table2[[#This Row],[CONVENIOS]]/$F$258</f>
        <v>0</v>
      </c>
      <c r="N230" s="69" t="s">
        <v>2103</v>
      </c>
      <c r="O230" s="70" cm="1">
        <f t="array" aca="1" ref="O230" ca="1">COUNTIF(PAIS, "Sudán del Sur")</f>
        <v>0</v>
      </c>
    </row>
    <row r="231" spans="5:15" ht="15.6" x14ac:dyDescent="0.3">
      <c r="E231" s="21" t="s">
        <v>2102</v>
      </c>
      <c r="F231" s="91" cm="1">
        <f t="array" aca="1" ref="F231" ca="1">COUNTIF(PAIS, "Sudán")</f>
        <v>0</v>
      </c>
      <c r="G231" s="24">
        <f ca="1">Table2[[#This Row],[CONVENIOS]]/$F$258</f>
        <v>0</v>
      </c>
      <c r="N231" s="69" t="s">
        <v>318</v>
      </c>
      <c r="O231" s="70" cm="1">
        <f t="array" aca="1" ref="O231" ca="1">COUNTIF(PAIS, "Suecia")</f>
        <v>3</v>
      </c>
    </row>
    <row r="232" spans="5:15" ht="15.6" x14ac:dyDescent="0.3">
      <c r="E232" s="21" t="s">
        <v>2103</v>
      </c>
      <c r="F232" s="91" cm="1">
        <f t="array" aca="1" ref="F232" ca="1">COUNTIF(PAIS, "Sudán del Sur")</f>
        <v>0</v>
      </c>
      <c r="G232" s="24">
        <f ca="1">Table2[[#This Row],[CONVENIOS]]/$F$258</f>
        <v>0</v>
      </c>
      <c r="N232" s="69" t="s">
        <v>230</v>
      </c>
      <c r="O232" s="70" cm="1">
        <f t="array" aca="1" ref="O232" ca="1">COUNTIF(PAIS, "Suiza")</f>
        <v>6</v>
      </c>
    </row>
    <row r="233" spans="5:15" ht="15.6" x14ac:dyDescent="0.3">
      <c r="E233" s="21" t="s">
        <v>2104</v>
      </c>
      <c r="F233" s="91" cm="1">
        <f t="array" aca="1" ref="F233" ca="1">COUNTIF(PAIS, "Surinam")</f>
        <v>0</v>
      </c>
      <c r="G233" s="24">
        <f ca="1">Table2[[#This Row],[CONVENIOS]]/$F$258</f>
        <v>0</v>
      </c>
      <c r="N233" s="69" t="s">
        <v>2104</v>
      </c>
      <c r="O233" s="70" cm="1">
        <f t="array" aca="1" ref="O233" ca="1">COUNTIF(PAIS, "Surinam")</f>
        <v>0</v>
      </c>
    </row>
    <row r="234" spans="5:15" ht="15.6" x14ac:dyDescent="0.3">
      <c r="E234" s="21" t="s">
        <v>2105</v>
      </c>
      <c r="F234" s="91" cm="1">
        <f t="array" aca="1" ref="F234" ca="1">COUNTIF(PAIS, "Tailandia")</f>
        <v>0</v>
      </c>
      <c r="G234" s="24">
        <f ca="1">Table2[[#This Row],[CONVENIOS]]/$F$258</f>
        <v>0</v>
      </c>
      <c r="N234" s="69" t="s">
        <v>2105</v>
      </c>
      <c r="O234" s="70" cm="1">
        <f t="array" aca="1" ref="O234" ca="1">COUNTIF(PAIS, "Tailandia")</f>
        <v>0</v>
      </c>
    </row>
    <row r="235" spans="5:15" ht="15.6" x14ac:dyDescent="0.3">
      <c r="E235" s="21" t="s">
        <v>2106</v>
      </c>
      <c r="F235" s="91" cm="1">
        <f t="array" aca="1" ref="F235" ca="1">COUNTIF(PAIS, "Tanzania")</f>
        <v>0</v>
      </c>
      <c r="G235" s="24">
        <f ca="1">Table2[[#This Row],[CONVENIOS]]/$F$258</f>
        <v>0</v>
      </c>
      <c r="N235" s="69" t="s">
        <v>29</v>
      </c>
      <c r="O235" s="70" cm="1">
        <f t="array" aca="1" ref="O235" ca="1">COUNTIF(PAIS, "Taiwán")</f>
        <v>3</v>
      </c>
    </row>
    <row r="236" spans="5:15" ht="15.6" x14ac:dyDescent="0.3">
      <c r="E236" s="21" t="s">
        <v>2107</v>
      </c>
      <c r="F236" s="91" cm="1">
        <f t="array" aca="1" ref="F236" ca="1">COUNTIF(PAIS, "Tayikistán")</f>
        <v>0</v>
      </c>
      <c r="G236" s="24">
        <f ca="1">Table2[[#This Row],[CONVENIOS]]/$F$258</f>
        <v>0</v>
      </c>
      <c r="N236" s="69" t="s">
        <v>2106</v>
      </c>
      <c r="O236" s="70" cm="1">
        <f t="array" aca="1" ref="O236" ca="1">COUNTIF(PAIS, "Tanzania")</f>
        <v>0</v>
      </c>
    </row>
    <row r="237" spans="5:15" ht="15.6" x14ac:dyDescent="0.3">
      <c r="E237" s="21" t="s">
        <v>2108</v>
      </c>
      <c r="F237" s="91" cm="1">
        <f t="array" aca="1" ref="F237" ca="1">COUNTIF(PAIS, "Territorio Británico del Océano Índico")</f>
        <v>0</v>
      </c>
      <c r="G237" s="24">
        <f ca="1">Table2[[#This Row],[CONVENIOS]]/$F$258</f>
        <v>0</v>
      </c>
      <c r="N237" s="69" t="s">
        <v>2107</v>
      </c>
      <c r="O237" s="70" cm="1">
        <f t="array" aca="1" ref="O237" ca="1">COUNTIF(PAIS, "Tayikistán")</f>
        <v>0</v>
      </c>
    </row>
    <row r="238" spans="5:15" ht="15.6" x14ac:dyDescent="0.3">
      <c r="E238" s="21" t="s">
        <v>2109</v>
      </c>
      <c r="F238" s="91" cm="1">
        <f t="array" aca="1" ref="F238" ca="1">COUNTIF(PAIS, "Territorios del sur Franceses")</f>
        <v>0</v>
      </c>
      <c r="G238" s="24">
        <f ca="1">Table2[[#This Row],[CONVENIOS]]/$F$258</f>
        <v>0</v>
      </c>
      <c r="N238" s="69" t="s">
        <v>2108</v>
      </c>
      <c r="O238" s="70" cm="1">
        <f t="array" aca="1" ref="O238" ca="1">COUNTIF(PAIS, "Territorio Británico del Océano Índico")</f>
        <v>0</v>
      </c>
    </row>
    <row r="239" spans="5:15" ht="15.6" x14ac:dyDescent="0.3">
      <c r="E239" s="21" t="s">
        <v>2110</v>
      </c>
      <c r="F239" s="91" cm="1">
        <f t="array" aca="1" ref="F239" ca="1">COUNTIF(PAIS, "Territorios Palestinos")</f>
        <v>0</v>
      </c>
      <c r="G239" s="24">
        <f ca="1">Table2[[#This Row],[CONVENIOS]]/$F$258</f>
        <v>0</v>
      </c>
      <c r="N239" s="69" t="s">
        <v>2109</v>
      </c>
      <c r="O239" s="70" cm="1">
        <f t="array" aca="1" ref="O239" ca="1">COUNTIF(PAIS, "Territorios del sur Franceses")</f>
        <v>0</v>
      </c>
    </row>
    <row r="240" spans="5:15" ht="15.6" x14ac:dyDescent="0.3">
      <c r="E240" s="21" t="s">
        <v>2111</v>
      </c>
      <c r="F240" s="91" cm="1">
        <f t="array" aca="1" ref="F240" ca="1">COUNTIF(PAIS, "Timor Oriental")</f>
        <v>0</v>
      </c>
      <c r="G240" s="24">
        <f ca="1">Table2[[#This Row],[CONVENIOS]]/$F$258</f>
        <v>0</v>
      </c>
      <c r="N240" s="69" t="s">
        <v>2110</v>
      </c>
      <c r="O240" s="70" cm="1">
        <f t="array" aca="1" ref="O240" ca="1">COUNTIF(PAIS, "Territorios Palestinos")</f>
        <v>0</v>
      </c>
    </row>
    <row r="241" spans="5:15" ht="15.6" x14ac:dyDescent="0.3">
      <c r="E241" s="21" t="s">
        <v>2112</v>
      </c>
      <c r="F241" s="91" cm="1">
        <f t="array" aca="1" ref="F241" ca="1">COUNTIF(PAIS, "Tonga")</f>
        <v>0</v>
      </c>
      <c r="G241" s="24">
        <f ca="1">Table2[[#This Row],[CONVENIOS]]/$F$258</f>
        <v>0</v>
      </c>
      <c r="N241" s="69" t="s">
        <v>2111</v>
      </c>
      <c r="O241" s="70" cm="1">
        <f t="array" aca="1" ref="O241" ca="1">COUNTIF(PAIS, "Timor Oriental")</f>
        <v>0</v>
      </c>
    </row>
    <row r="242" spans="5:15" ht="15.6" x14ac:dyDescent="0.3">
      <c r="E242" s="21" t="s">
        <v>2113</v>
      </c>
      <c r="F242" s="91" cm="1">
        <f t="array" aca="1" ref="F242" ca="1">COUNTIF(PAIS, "Trinidad y Tobago")</f>
        <v>0</v>
      </c>
      <c r="G242" s="24">
        <f ca="1">Table2[[#This Row],[CONVENIOS]]/$F$258</f>
        <v>0</v>
      </c>
      <c r="N242" s="69" t="s">
        <v>2112</v>
      </c>
      <c r="O242" s="70" cm="1">
        <f t="array" aca="1" ref="O242" ca="1">COUNTIF(PAIS, "Tonga")</f>
        <v>0</v>
      </c>
    </row>
    <row r="243" spans="5:15" ht="15.6" x14ac:dyDescent="0.3">
      <c r="E243" s="21" t="s">
        <v>2114</v>
      </c>
      <c r="F243" s="91" cm="1">
        <f t="array" aca="1" ref="F243" ca="1">COUNTIF(PAIS, "Túnez")</f>
        <v>0</v>
      </c>
      <c r="G243" s="24">
        <f ca="1">Table2[[#This Row],[CONVENIOS]]/$F$258</f>
        <v>0</v>
      </c>
      <c r="N243" s="69" t="s">
        <v>2113</v>
      </c>
      <c r="O243" s="70" cm="1">
        <f t="array" aca="1" ref="O243" ca="1">COUNTIF(PAIS, "Trinidad y Tobago")</f>
        <v>0</v>
      </c>
    </row>
    <row r="244" spans="5:15" ht="15.6" x14ac:dyDescent="0.3">
      <c r="E244" s="21" t="s">
        <v>2115</v>
      </c>
      <c r="F244" s="91" cm="1">
        <f t="array" aca="1" ref="F244" ca="1">COUNTIF(PAIS, "Turkmenistán")</f>
        <v>0</v>
      </c>
      <c r="G244" s="24">
        <f ca="1">Table2[[#This Row],[CONVENIOS]]/$F$258</f>
        <v>0</v>
      </c>
      <c r="N244" s="69" t="s">
        <v>2114</v>
      </c>
      <c r="O244" s="70" cm="1">
        <f t="array" aca="1" ref="O244" ca="1">COUNTIF(PAIS, "Túnez")</f>
        <v>0</v>
      </c>
    </row>
    <row r="245" spans="5:15" ht="15.6" x14ac:dyDescent="0.3">
      <c r="E245" s="21" t="s">
        <v>2116</v>
      </c>
      <c r="F245" s="91" cm="1">
        <f t="array" aca="1" ref="F245" ca="1">COUNTIF(PAIS, "Tuvalu")</f>
        <v>0</v>
      </c>
      <c r="G245" s="24">
        <f ca="1">Table2[[#This Row],[CONVENIOS]]/$F$258</f>
        <v>0</v>
      </c>
      <c r="N245" s="69" t="s">
        <v>2115</v>
      </c>
      <c r="O245" s="70" cm="1">
        <f t="array" aca="1" ref="O245" ca="1">COUNTIF(PAIS, "Turkmenistán")</f>
        <v>0</v>
      </c>
    </row>
    <row r="246" spans="5:15" ht="15.6" x14ac:dyDescent="0.3">
      <c r="E246" s="21" t="s">
        <v>2117</v>
      </c>
      <c r="F246" s="91" cm="1">
        <f t="array" aca="1" ref="F246" ca="1">COUNTIF(PAIS, "Ucrania")</f>
        <v>0</v>
      </c>
      <c r="G246" s="24">
        <f ca="1">Table2[[#This Row],[CONVENIOS]]/$F$258</f>
        <v>0</v>
      </c>
      <c r="N246" s="69" t="s">
        <v>1614</v>
      </c>
      <c r="O246" s="70" cm="1">
        <f t="array" aca="1" ref="O246" ca="1">COUNTIF(PAIS, "Turquía")</f>
        <v>1</v>
      </c>
    </row>
    <row r="247" spans="5:15" ht="15.6" x14ac:dyDescent="0.3">
      <c r="E247" s="21" t="s">
        <v>2118</v>
      </c>
      <c r="F247" s="91" cm="1">
        <f t="array" aca="1" ref="F247" ca="1">COUNTIF(PAIS, "Uganda")</f>
        <v>0</v>
      </c>
      <c r="G247" s="24">
        <f ca="1">Table2[[#This Row],[CONVENIOS]]/$F$258</f>
        <v>0</v>
      </c>
      <c r="N247" s="69" t="s">
        <v>2116</v>
      </c>
      <c r="O247" s="70" cm="1">
        <f t="array" aca="1" ref="O247" ca="1">COUNTIF(PAIS, "Tuvalu")</f>
        <v>0</v>
      </c>
    </row>
    <row r="248" spans="5:15" ht="15.6" x14ac:dyDescent="0.3">
      <c r="E248" s="21" t="s">
        <v>2119</v>
      </c>
      <c r="F248" s="91" cm="1">
        <f t="array" aca="1" ref="F248" ca="1">COUNTIF(PAIS, "Uzbekistán")</f>
        <v>0</v>
      </c>
      <c r="G248" s="24">
        <f ca="1">Table2[[#This Row],[CONVENIOS]]/$F$258</f>
        <v>0</v>
      </c>
      <c r="N248" s="69" t="s">
        <v>2117</v>
      </c>
      <c r="O248" s="70" cm="1">
        <f t="array" aca="1" ref="O248" ca="1">COUNTIF(PAIS, "Ucrania")</f>
        <v>0</v>
      </c>
    </row>
    <row r="249" spans="5:15" ht="15.6" x14ac:dyDescent="0.3">
      <c r="E249" s="21" t="s">
        <v>2120</v>
      </c>
      <c r="F249" s="91" cm="1">
        <f t="array" aca="1" ref="F249" ca="1">COUNTIF(PAIS, "Vanuatu")</f>
        <v>0</v>
      </c>
      <c r="G249" s="24">
        <f ca="1">Table2[[#This Row],[CONVENIOS]]/$F$258</f>
        <v>0</v>
      </c>
      <c r="N249" s="69" t="s">
        <v>2118</v>
      </c>
      <c r="O249" s="70" cm="1">
        <f t="array" aca="1" ref="O249" ca="1">COUNTIF(PAIS, "Uganda")</f>
        <v>0</v>
      </c>
    </row>
    <row r="250" spans="5:15" ht="15.6" x14ac:dyDescent="0.3">
      <c r="E250" s="21" t="s">
        <v>2121</v>
      </c>
      <c r="F250" s="91" cm="1">
        <f t="array" aca="1" ref="F250" ca="1">COUNTIF(PAIS, "Vaticano")</f>
        <v>0</v>
      </c>
      <c r="G250" s="24">
        <f ca="1">Table2[[#This Row],[CONVENIOS]]/$F$258</f>
        <v>0</v>
      </c>
      <c r="N250" s="69" t="s">
        <v>1770</v>
      </c>
      <c r="O250" s="70" cm="1">
        <f t="array" aca="1" ref="O250" ca="1">COUNTIF(PAIS, "Uruguay")</f>
        <v>1</v>
      </c>
    </row>
    <row r="251" spans="5:15" ht="15.6" x14ac:dyDescent="0.3">
      <c r="E251" s="21" t="s">
        <v>2122</v>
      </c>
      <c r="F251" s="91" cm="1">
        <f t="array" aca="1" ref="F251" ca="1">COUNTIF(PAIS, "Venezuela")</f>
        <v>0</v>
      </c>
      <c r="G251" s="24">
        <f ca="1">Table2[[#This Row],[CONVENIOS]]/$F$258</f>
        <v>0</v>
      </c>
      <c r="N251" s="69" t="s">
        <v>2119</v>
      </c>
      <c r="O251" s="70" cm="1">
        <f t="array" aca="1" ref="O251" ca="1">COUNTIF(PAIS, "Uzbekistán")</f>
        <v>0</v>
      </c>
    </row>
    <row r="252" spans="5:15" ht="15.6" x14ac:dyDescent="0.3">
      <c r="E252" s="21" t="s">
        <v>2123</v>
      </c>
      <c r="F252" s="91" cm="1">
        <f t="array" aca="1" ref="F252" ca="1">COUNTIF(PAIS, "Vietnam")</f>
        <v>0</v>
      </c>
      <c r="G252" s="24">
        <f ca="1">Table2[[#This Row],[CONVENIOS]]/$F$258</f>
        <v>0</v>
      </c>
      <c r="N252" s="69" t="s">
        <v>2120</v>
      </c>
      <c r="O252" s="70" cm="1">
        <f t="array" aca="1" ref="O252" ca="1">COUNTIF(PAIS, "Vanuatu")</f>
        <v>0</v>
      </c>
    </row>
    <row r="253" spans="5:15" ht="15.6" x14ac:dyDescent="0.3">
      <c r="E253" s="21" t="s">
        <v>2124</v>
      </c>
      <c r="F253" s="91" cm="1">
        <f t="array" aca="1" ref="F253" ca="1">COUNTIF(PAIS, "Wallis y Futuna")</f>
        <v>0</v>
      </c>
      <c r="G253" s="24">
        <f ca="1">Table2[[#This Row],[CONVENIOS]]/$F$258</f>
        <v>0</v>
      </c>
      <c r="N253" s="69" t="s">
        <v>2121</v>
      </c>
      <c r="O253" s="70" cm="1">
        <f t="array" aca="1" ref="O253" ca="1">COUNTIF(PAIS, "Vaticano")</f>
        <v>0</v>
      </c>
    </row>
    <row r="254" spans="5:15" ht="15.6" x14ac:dyDescent="0.3">
      <c r="E254" s="21" t="s">
        <v>2125</v>
      </c>
      <c r="F254" s="91" cm="1">
        <f t="array" aca="1" ref="F254" ca="1">COUNTIF(PAIS, "Yemen")</f>
        <v>0</v>
      </c>
      <c r="G254" s="24">
        <f ca="1">Table2[[#This Row],[CONVENIOS]]/$F$258</f>
        <v>0</v>
      </c>
      <c r="N254" s="69" t="s">
        <v>2122</v>
      </c>
      <c r="O254" s="70" cm="1">
        <f t="array" aca="1" ref="O254" ca="1">COUNTIF(PAIS, "Venezuela")</f>
        <v>0</v>
      </c>
    </row>
    <row r="255" spans="5:15" ht="15.6" x14ac:dyDescent="0.3">
      <c r="E255" s="21" t="s">
        <v>2126</v>
      </c>
      <c r="F255" s="91" cm="1">
        <f t="array" aca="1" ref="F255" ca="1">COUNTIF(PAIS, "Yibuti")</f>
        <v>0</v>
      </c>
      <c r="G255" s="24">
        <f ca="1">Table2[[#This Row],[CONVENIOS]]/$F$258</f>
        <v>0</v>
      </c>
      <c r="N255" s="69" t="s">
        <v>2123</v>
      </c>
      <c r="O255" s="70" cm="1">
        <f t="array" aca="1" ref="O255" ca="1">COUNTIF(PAIS, "Vietnam")</f>
        <v>0</v>
      </c>
    </row>
    <row r="256" spans="5:15" ht="15.6" x14ac:dyDescent="0.3">
      <c r="E256" s="21" t="s">
        <v>2127</v>
      </c>
      <c r="F256" s="91" cm="1">
        <f t="array" aca="1" ref="F256" ca="1">COUNTIF(PAIS, "Zambia")</f>
        <v>0</v>
      </c>
      <c r="G256" s="24">
        <f ca="1">Table2[[#This Row],[CONVENIOS]]/$F$258</f>
        <v>0</v>
      </c>
      <c r="N256" s="69" t="s">
        <v>2124</v>
      </c>
      <c r="O256" s="70" cm="1">
        <f t="array" aca="1" ref="O256" ca="1">COUNTIF(PAIS, "Wallis y Futuna")</f>
        <v>0</v>
      </c>
    </row>
    <row r="257" spans="5:15" ht="16.2" thickBot="1" x14ac:dyDescent="0.35">
      <c r="E257" s="85" t="s">
        <v>2128</v>
      </c>
      <c r="F257" s="95" cm="1">
        <f t="array" aca="1" ref="F257" ca="1">COUNTIF(PAIS, "Zimbabue")</f>
        <v>0</v>
      </c>
      <c r="G257" s="24">
        <f ca="1">Table2[[#This Row],[CONVENIOS]]/$F$258</f>
        <v>0</v>
      </c>
      <c r="N257" s="69" t="s">
        <v>2125</v>
      </c>
      <c r="O257" s="70" cm="1">
        <f t="array" aca="1" ref="O257" ca="1">COUNTIF(PAIS, "Yemen")</f>
        <v>0</v>
      </c>
    </row>
    <row r="258" spans="5:15" ht="16.2" thickTop="1" x14ac:dyDescent="0.3">
      <c r="E258" s="82" t="s">
        <v>1883</v>
      </c>
      <c r="F258" s="83" cm="1">
        <f t="array" aca="1" ref="F258" ca="1">SUBTOTAL(109,PAISES)</f>
        <v>389</v>
      </c>
      <c r="G258" s="84">
        <f ca="1">SUM(G4:G257)</f>
        <v>1</v>
      </c>
      <c r="N258" s="69" t="s">
        <v>2126</v>
      </c>
      <c r="O258" s="70" cm="1">
        <f t="array" aca="1" ref="O258" ca="1">COUNTIF(PAIS, "Yibuti")</f>
        <v>0</v>
      </c>
    </row>
    <row r="259" spans="5:15" ht="15.6" x14ac:dyDescent="0.3">
      <c r="N259" s="69" t="s">
        <v>2127</v>
      </c>
      <c r="O259" s="70" cm="1">
        <f t="array" aca="1" ref="O259" ca="1">COUNTIF(PAIS, "Zambia")</f>
        <v>0</v>
      </c>
    </row>
    <row r="260" spans="5:15" ht="16.2" thickBot="1" x14ac:dyDescent="0.35">
      <c r="N260" s="87" t="s">
        <v>2128</v>
      </c>
      <c r="O260" s="90" cm="1">
        <f t="array" aca="1" ref="O260" ca="1">COUNTIF(PAIS, "Zimbabue")</f>
        <v>0</v>
      </c>
    </row>
    <row r="261" spans="5:15" ht="15" thickTop="1" x14ac:dyDescent="0.3"/>
  </sheetData>
  <sortState xmlns:xlrd2="http://schemas.microsoft.com/office/spreadsheetml/2017/richdata2" ref="N9:O260">
    <sortCondition ref="N9:N260"/>
  </sortState>
  <mergeCells count="6">
    <mergeCell ref="A1:I1"/>
    <mergeCell ref="N3:N5"/>
    <mergeCell ref="N1:P1"/>
    <mergeCell ref="I2:J2"/>
    <mergeCell ref="E2:G2"/>
    <mergeCell ref="A2:C2"/>
  </mergeCells>
  <phoneticPr fontId="29" type="noConversion"/>
  <pageMargins left="0.7" right="0.7" top="0.75" bottom="0.75" header="0.3" footer="0.3"/>
  <pageSetup orientation="portrait" verticalDpi="1200" r:id="rId1"/>
  <legacy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9C47-8291-4393-9DA9-F1DDAE65A0B0}">
  <dimension ref="A1"/>
  <sheetViews>
    <sheetView zoomScaleNormal="100" workbookViewId="0">
      <selection activeCell="N14" sqref="N14"/>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9"/>
  <sheetViews>
    <sheetView zoomScale="70" zoomScaleNormal="70" workbookViewId="0">
      <selection activeCell="D6" sqref="D6"/>
    </sheetView>
  </sheetViews>
  <sheetFormatPr defaultColWidth="0" defaultRowHeight="14.4" x14ac:dyDescent="0.3"/>
  <cols>
    <col min="1" max="1" width="18.109375" customWidth="1"/>
    <col min="2" max="2" width="10.88671875" customWidth="1"/>
    <col min="3" max="3" width="12.5546875" customWidth="1"/>
    <col min="4" max="27" width="11.44140625" customWidth="1"/>
  </cols>
  <sheetData>
    <row r="1" spans="1:27" ht="31.2" x14ac:dyDescent="0.6">
      <c r="A1" s="187" t="s">
        <v>2129</v>
      </c>
      <c r="B1" s="187"/>
      <c r="C1" s="187"/>
      <c r="D1" s="187"/>
      <c r="E1" s="187"/>
      <c r="F1" s="187"/>
      <c r="G1" s="187"/>
      <c r="H1" s="187"/>
      <c r="I1" s="187"/>
      <c r="J1" s="187"/>
      <c r="K1" s="187"/>
      <c r="L1" s="187"/>
      <c r="M1" s="187"/>
      <c r="N1" s="187"/>
      <c r="O1" s="17"/>
      <c r="P1" s="17"/>
      <c r="Q1" s="17"/>
      <c r="R1" s="17"/>
      <c r="S1" s="17"/>
      <c r="T1" s="17"/>
      <c r="U1" s="17"/>
      <c r="V1" s="17"/>
      <c r="W1" s="17"/>
      <c r="X1" s="17"/>
      <c r="Y1" s="17"/>
      <c r="Z1" s="17"/>
      <c r="AA1" s="17"/>
    </row>
    <row r="3" spans="1:27" ht="23.4" x14ac:dyDescent="0.45">
      <c r="A3" s="16" t="s">
        <v>2130</v>
      </c>
      <c r="G3" s="102"/>
      <c r="H3" s="102"/>
      <c r="I3" s="102"/>
      <c r="J3" s="102"/>
      <c r="K3" s="102"/>
      <c r="L3" s="102"/>
    </row>
    <row r="4" spans="1:27" ht="18" x14ac:dyDescent="0.35">
      <c r="B4" s="101" t="s">
        <v>2131</v>
      </c>
      <c r="C4" s="102"/>
      <c r="D4" s="102"/>
      <c r="H4" s="102"/>
      <c r="I4" s="102"/>
      <c r="J4" s="102"/>
      <c r="K4" s="102"/>
      <c r="L4" s="102"/>
    </row>
    <row r="5" spans="1:27" ht="18" x14ac:dyDescent="0.35">
      <c r="B5" s="99" t="s">
        <v>2132</v>
      </c>
      <c r="C5" s="102"/>
      <c r="D5" s="103" t="s">
        <v>2488</v>
      </c>
      <c r="G5" s="102"/>
      <c r="H5" s="102"/>
      <c r="I5" s="102"/>
      <c r="J5" s="102"/>
      <c r="K5" s="102"/>
      <c r="L5" s="102"/>
    </row>
    <row r="6" spans="1:27" ht="18" x14ac:dyDescent="0.35">
      <c r="B6" s="104" t="s">
        <v>2133</v>
      </c>
      <c r="C6" s="102"/>
      <c r="D6" s="102"/>
      <c r="G6" s="102"/>
      <c r="H6" s="102"/>
      <c r="I6" s="102"/>
      <c r="J6" s="102"/>
      <c r="K6" s="102"/>
      <c r="L6" s="102"/>
    </row>
    <row r="7" spans="1:27" ht="18" x14ac:dyDescent="0.35">
      <c r="B7" s="105" t="s">
        <v>2134</v>
      </c>
      <c r="C7" s="102"/>
      <c r="D7" s="102"/>
    </row>
    <row r="8" spans="1:27" x14ac:dyDescent="0.3">
      <c r="B8" s="5"/>
      <c r="C8" s="19" t="s">
        <v>2135</v>
      </c>
      <c r="D8" t="s">
        <v>2136</v>
      </c>
    </row>
    <row r="9" spans="1:27" x14ac:dyDescent="0.3">
      <c r="C9" s="19"/>
      <c r="D9" t="s">
        <v>2137</v>
      </c>
    </row>
    <row r="10" spans="1:27" x14ac:dyDescent="0.3">
      <c r="D10" s="5" t="s">
        <v>2138</v>
      </c>
    </row>
    <row r="11" spans="1:27" x14ac:dyDescent="0.3">
      <c r="D11" s="5"/>
    </row>
    <row r="12" spans="1:27" ht="23.4" x14ac:dyDescent="0.45">
      <c r="A12" s="16" t="s">
        <v>2139</v>
      </c>
    </row>
    <row r="13" spans="1:27" x14ac:dyDescent="0.3">
      <c r="B13" t="s">
        <v>2140</v>
      </c>
    </row>
    <row r="14" spans="1:27" x14ac:dyDescent="0.3">
      <c r="B14" s="14" t="s">
        <v>2141</v>
      </c>
      <c r="C14" t="s">
        <v>28</v>
      </c>
      <c r="E14" s="8" t="s">
        <v>2142</v>
      </c>
      <c r="F14" s="8" t="s">
        <v>2142</v>
      </c>
      <c r="G14" s="8" t="s">
        <v>2142</v>
      </c>
      <c r="H14" s="13" t="s">
        <v>2143</v>
      </c>
      <c r="I14" s="14" t="s">
        <v>2144</v>
      </c>
    </row>
    <row r="15" spans="1:27" x14ac:dyDescent="0.3">
      <c r="C15" t="s">
        <v>2145</v>
      </c>
      <c r="E15" s="8" t="s">
        <v>2142</v>
      </c>
      <c r="F15" s="8" t="s">
        <v>2142</v>
      </c>
      <c r="G15" s="8" t="s">
        <v>2142</v>
      </c>
      <c r="H15" s="13" t="s">
        <v>2146</v>
      </c>
      <c r="I15" s="14" t="s">
        <v>2147</v>
      </c>
    </row>
    <row r="16" spans="1:27" x14ac:dyDescent="0.3">
      <c r="C16" s="14" t="s">
        <v>2148</v>
      </c>
      <c r="E16" s="8"/>
      <c r="F16" s="8"/>
      <c r="G16" s="8" t="s">
        <v>2142</v>
      </c>
      <c r="H16" s="13" t="s">
        <v>2149</v>
      </c>
      <c r="I16" s="14" t="s">
        <v>2150</v>
      </c>
    </row>
    <row r="17" spans="1:11" x14ac:dyDescent="0.3">
      <c r="C17" t="s">
        <v>358</v>
      </c>
      <c r="E17" s="13" t="s">
        <v>2142</v>
      </c>
      <c r="F17" s="13" t="s">
        <v>2142</v>
      </c>
      <c r="G17" s="13" t="s">
        <v>2142</v>
      </c>
      <c r="H17" s="13" t="s">
        <v>2151</v>
      </c>
      <c r="I17" s="14" t="s">
        <v>2152</v>
      </c>
    </row>
    <row r="18" spans="1:11" x14ac:dyDescent="0.3">
      <c r="C18" s="14" t="s">
        <v>279</v>
      </c>
      <c r="E18" s="8"/>
      <c r="F18" s="8"/>
      <c r="G18" s="8"/>
      <c r="H18" s="13" t="s">
        <v>2153</v>
      </c>
      <c r="I18" s="14" t="s">
        <v>2154</v>
      </c>
    </row>
    <row r="19" spans="1:11" x14ac:dyDescent="0.3">
      <c r="C19" s="14" t="s">
        <v>2155</v>
      </c>
      <c r="E19" s="8"/>
      <c r="F19" s="8"/>
      <c r="G19" s="8" t="s">
        <v>2142</v>
      </c>
      <c r="H19" s="13" t="s">
        <v>2156</v>
      </c>
      <c r="I19" s="14" t="s">
        <v>2157</v>
      </c>
    </row>
    <row r="20" spans="1:11" x14ac:dyDescent="0.3">
      <c r="C20" s="12"/>
      <c r="I20" t="s">
        <v>2158</v>
      </c>
    </row>
    <row r="21" spans="1:11" ht="23.4" x14ac:dyDescent="0.45">
      <c r="A21" s="16" t="s">
        <v>2159</v>
      </c>
      <c r="B21" s="5"/>
      <c r="D21" s="5"/>
    </row>
    <row r="22" spans="1:11" x14ac:dyDescent="0.3">
      <c r="B22" t="s">
        <v>2160</v>
      </c>
      <c r="D22" s="7"/>
      <c r="G22" s="6"/>
    </row>
    <row r="23" spans="1:11" x14ac:dyDescent="0.3">
      <c r="C23" t="s">
        <v>2141</v>
      </c>
      <c r="D23" s="7" t="s">
        <v>287</v>
      </c>
      <c r="K23" t="s">
        <v>286</v>
      </c>
    </row>
    <row r="24" spans="1:11" x14ac:dyDescent="0.3">
      <c r="D24" s="7" t="s">
        <v>2161</v>
      </c>
      <c r="K24" t="s">
        <v>292</v>
      </c>
    </row>
    <row r="25" spans="1:11" x14ac:dyDescent="0.3">
      <c r="D25" s="7"/>
    </row>
    <row r="26" spans="1:11" x14ac:dyDescent="0.3">
      <c r="B26" t="s">
        <v>2162</v>
      </c>
      <c r="D26" s="7"/>
    </row>
    <row r="27" spans="1:11" x14ac:dyDescent="0.3">
      <c r="C27" t="s">
        <v>2163</v>
      </c>
      <c r="D27" s="7" t="s">
        <v>2164</v>
      </c>
      <c r="K27" t="s">
        <v>924</v>
      </c>
    </row>
    <row r="28" spans="1:11" x14ac:dyDescent="0.3">
      <c r="D28" s="7" t="s">
        <v>2165</v>
      </c>
      <c r="K28" t="s">
        <v>814</v>
      </c>
    </row>
    <row r="29" spans="1:11" x14ac:dyDescent="0.3">
      <c r="D29" s="7" t="s">
        <v>284</v>
      </c>
      <c r="K29" t="s">
        <v>283</v>
      </c>
    </row>
    <row r="30" spans="1:11" x14ac:dyDescent="0.3">
      <c r="D30" s="7" t="s">
        <v>505</v>
      </c>
      <c r="K30" t="s">
        <v>504</v>
      </c>
    </row>
    <row r="31" spans="1:11" x14ac:dyDescent="0.3">
      <c r="D31" s="7"/>
    </row>
    <row r="32" spans="1:11" ht="23.4" x14ac:dyDescent="0.45">
      <c r="A32" s="16" t="s">
        <v>2166</v>
      </c>
      <c r="D32" s="5"/>
      <c r="H32" s="8"/>
      <c r="I32" s="8"/>
      <c r="J32" s="8"/>
      <c r="K32" s="8"/>
    </row>
    <row r="33" spans="1:18" x14ac:dyDescent="0.3">
      <c r="B33" t="s">
        <v>2167</v>
      </c>
      <c r="H33" s="9"/>
    </row>
    <row r="34" spans="1:18" ht="23.4" x14ac:dyDescent="0.45">
      <c r="A34" s="16" t="s">
        <v>2168</v>
      </c>
      <c r="B34" s="16"/>
      <c r="C34" s="16"/>
      <c r="D34" s="16"/>
      <c r="E34" s="16"/>
      <c r="P34" s="16"/>
      <c r="Q34" s="16"/>
      <c r="R34" s="16"/>
    </row>
    <row r="35" spans="1:18" x14ac:dyDescent="0.3">
      <c r="A35" s="5" t="s">
        <v>2169</v>
      </c>
      <c r="B35" s="5"/>
      <c r="C35" s="5"/>
    </row>
    <row r="36" spans="1:18" ht="23.4" x14ac:dyDescent="0.45">
      <c r="A36" s="10"/>
      <c r="B36" s="11" t="s">
        <v>2170</v>
      </c>
      <c r="F36" s="16"/>
      <c r="G36" s="16"/>
      <c r="H36" s="16"/>
      <c r="I36" s="16"/>
      <c r="J36" s="16"/>
      <c r="K36" s="16"/>
    </row>
    <row r="37" spans="1:18" x14ac:dyDescent="0.3">
      <c r="A37" s="10"/>
      <c r="B37" s="11">
        <v>2012</v>
      </c>
      <c r="C37" t="s">
        <v>2171</v>
      </c>
    </row>
    <row r="38" spans="1:18" x14ac:dyDescent="0.3">
      <c r="B38" s="11">
        <v>10</v>
      </c>
      <c r="C38" t="s">
        <v>2172</v>
      </c>
    </row>
    <row r="39" spans="1:18" x14ac:dyDescent="0.3">
      <c r="A39" s="10"/>
      <c r="B39" s="11" t="s">
        <v>2173</v>
      </c>
      <c r="C39" t="s">
        <v>2174</v>
      </c>
    </row>
    <row r="41" spans="1:18" x14ac:dyDescent="0.3">
      <c r="A41" s="5" t="s">
        <v>2175</v>
      </c>
    </row>
    <row r="42" spans="1:18" x14ac:dyDescent="0.3">
      <c r="B42" s="11" t="s">
        <v>2176</v>
      </c>
    </row>
    <row r="43" spans="1:18" x14ac:dyDescent="0.3">
      <c r="B43" s="11">
        <v>2011</v>
      </c>
      <c r="C43" t="s">
        <v>2177</v>
      </c>
    </row>
    <row r="44" spans="1:18" x14ac:dyDescent="0.3">
      <c r="A44" s="10"/>
      <c r="B44" s="11">
        <v>12</v>
      </c>
      <c r="C44" t="s">
        <v>2178</v>
      </c>
    </row>
    <row r="45" spans="1:18" x14ac:dyDescent="0.3">
      <c r="A45" s="10"/>
      <c r="B45" s="11" t="s">
        <v>2179</v>
      </c>
      <c r="C45" t="s">
        <v>2180</v>
      </c>
    </row>
    <row r="46" spans="1:18" x14ac:dyDescent="0.3">
      <c r="A46" s="10"/>
      <c r="B46" s="11"/>
    </row>
    <row r="47" spans="1:18" x14ac:dyDescent="0.3">
      <c r="A47" s="5" t="s">
        <v>2181</v>
      </c>
    </row>
    <row r="48" spans="1:18" x14ac:dyDescent="0.3">
      <c r="B48" s="11" t="s">
        <v>2182</v>
      </c>
    </row>
    <row r="49" spans="1:3" x14ac:dyDescent="0.3">
      <c r="B49" s="11">
        <v>2008</v>
      </c>
      <c r="C49" t="s">
        <v>2183</v>
      </c>
    </row>
    <row r="50" spans="1:3" x14ac:dyDescent="0.3">
      <c r="A50" s="10"/>
      <c r="B50" s="18" t="s">
        <v>2184</v>
      </c>
      <c r="C50" t="s">
        <v>2185</v>
      </c>
    </row>
    <row r="51" spans="1:3" x14ac:dyDescent="0.3">
      <c r="A51" s="10"/>
      <c r="B51" s="11" t="s">
        <v>2186</v>
      </c>
      <c r="C51" t="s">
        <v>2187</v>
      </c>
    </row>
    <row r="52" spans="1:3" x14ac:dyDescent="0.3">
      <c r="A52" s="10"/>
      <c r="B52" s="11"/>
    </row>
    <row r="53" spans="1:3" x14ac:dyDescent="0.3">
      <c r="A53" s="5" t="s">
        <v>2188</v>
      </c>
    </row>
    <row r="54" spans="1:3" x14ac:dyDescent="0.3">
      <c r="B54" s="11" t="s">
        <v>2189</v>
      </c>
    </row>
    <row r="55" spans="1:3" x14ac:dyDescent="0.3">
      <c r="B55" s="11">
        <v>2010</v>
      </c>
      <c r="C55" t="s">
        <v>2190</v>
      </c>
    </row>
    <row r="56" spans="1:3" x14ac:dyDescent="0.3">
      <c r="A56" s="10"/>
      <c r="B56" s="18" t="s">
        <v>2184</v>
      </c>
      <c r="C56" t="s">
        <v>2185</v>
      </c>
    </row>
    <row r="57" spans="1:3" x14ac:dyDescent="0.3">
      <c r="A57" s="10"/>
      <c r="B57" s="11" t="s">
        <v>2146</v>
      </c>
      <c r="C57" t="s">
        <v>2191</v>
      </c>
    </row>
    <row r="58" spans="1:3" x14ac:dyDescent="0.3">
      <c r="A58" s="10"/>
      <c r="B58" s="11"/>
    </row>
    <row r="59" spans="1:3" x14ac:dyDescent="0.3">
      <c r="A59" s="5" t="s">
        <v>2192</v>
      </c>
    </row>
    <row r="60" spans="1:3" x14ac:dyDescent="0.3">
      <c r="B60" s="11" t="s">
        <v>2193</v>
      </c>
    </row>
    <row r="61" spans="1:3" x14ac:dyDescent="0.3">
      <c r="B61" s="11">
        <v>2014</v>
      </c>
      <c r="C61" t="s">
        <v>2194</v>
      </c>
    </row>
    <row r="62" spans="1:3" x14ac:dyDescent="0.3">
      <c r="A62" s="10"/>
      <c r="B62" s="18" t="s">
        <v>2195</v>
      </c>
      <c r="C62" t="s">
        <v>2196</v>
      </c>
    </row>
    <row r="63" spans="1:3" x14ac:dyDescent="0.3">
      <c r="A63" s="10"/>
      <c r="B63" s="11" t="s">
        <v>2179</v>
      </c>
      <c r="C63" t="s">
        <v>2197</v>
      </c>
    </row>
    <row r="65" spans="1:3" x14ac:dyDescent="0.3">
      <c r="A65" s="5" t="s">
        <v>2198</v>
      </c>
    </row>
    <row r="66" spans="1:3" x14ac:dyDescent="0.3">
      <c r="B66" s="11" t="s">
        <v>2199</v>
      </c>
    </row>
    <row r="67" spans="1:3" x14ac:dyDescent="0.3">
      <c r="B67" s="11">
        <v>2016</v>
      </c>
      <c r="C67" t="s">
        <v>2200</v>
      </c>
    </row>
    <row r="68" spans="1:3" x14ac:dyDescent="0.3">
      <c r="A68" s="10"/>
      <c r="B68" s="100" t="s">
        <v>2201</v>
      </c>
      <c r="C68" t="s">
        <v>2202</v>
      </c>
    </row>
    <row r="69" spans="1:3" x14ac:dyDescent="0.3">
      <c r="A69" s="10"/>
      <c r="B69" s="11" t="s">
        <v>2203</v>
      </c>
      <c r="C69" t="s">
        <v>2204</v>
      </c>
    </row>
  </sheetData>
  <mergeCells count="1">
    <mergeCell ref="A1:N1"/>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5"/>
  <sheetViews>
    <sheetView topLeftCell="A172" workbookViewId="0">
      <selection activeCell="A185" sqref="A185"/>
    </sheetView>
  </sheetViews>
  <sheetFormatPr defaultColWidth="11.44140625" defaultRowHeight="14.4" x14ac:dyDescent="0.3"/>
  <cols>
    <col min="1" max="1" width="38.109375" bestFit="1" customWidth="1"/>
    <col min="2" max="2" width="18.109375" style="13" customWidth="1"/>
  </cols>
  <sheetData>
    <row r="1" spans="1:2" ht="32.4" x14ac:dyDescent="0.3">
      <c r="A1" s="57" t="s">
        <v>4</v>
      </c>
      <c r="B1" s="57" t="s">
        <v>2205</v>
      </c>
    </row>
    <row r="2" spans="1:2" x14ac:dyDescent="0.3">
      <c r="A2" t="s">
        <v>1893</v>
      </c>
      <c r="B2" s="13" t="s">
        <v>2206</v>
      </c>
    </row>
    <row r="3" spans="1:2" ht="14.4" customHeight="1" x14ac:dyDescent="0.3">
      <c r="A3" t="s">
        <v>1997</v>
      </c>
      <c r="B3" s="13" t="s">
        <v>2207</v>
      </c>
    </row>
    <row r="4" spans="1:2" ht="15" customHeight="1" x14ac:dyDescent="0.3">
      <c r="A4" t="s">
        <v>1895</v>
      </c>
      <c r="B4" s="13" t="s">
        <v>2208</v>
      </c>
    </row>
    <row r="5" spans="1:2" x14ac:dyDescent="0.3">
      <c r="A5" t="s">
        <v>1910</v>
      </c>
      <c r="B5" s="13" t="s">
        <v>2209</v>
      </c>
    </row>
    <row r="6" spans="1:2" x14ac:dyDescent="0.3">
      <c r="A6" t="s">
        <v>2079</v>
      </c>
      <c r="B6" s="13" t="s">
        <v>2210</v>
      </c>
    </row>
    <row r="7" spans="1:2" x14ac:dyDescent="0.3">
      <c r="A7" t="s">
        <v>1898</v>
      </c>
      <c r="B7" s="13" t="s">
        <v>2211</v>
      </c>
    </row>
    <row r="8" spans="1:2" x14ac:dyDescent="0.3">
      <c r="A8" t="s">
        <v>1899</v>
      </c>
      <c r="B8" s="13" t="s">
        <v>2212</v>
      </c>
    </row>
    <row r="9" spans="1:2" x14ac:dyDescent="0.3">
      <c r="A9" t="s">
        <v>1901</v>
      </c>
      <c r="B9" s="13" t="s">
        <v>2213</v>
      </c>
    </row>
    <row r="10" spans="1:2" x14ac:dyDescent="0.3">
      <c r="A10" t="s">
        <v>1903</v>
      </c>
      <c r="B10" s="13" t="s">
        <v>2214</v>
      </c>
    </row>
    <row r="11" spans="1:2" x14ac:dyDescent="0.3">
      <c r="A11" t="s">
        <v>1905</v>
      </c>
      <c r="B11" s="13" t="s">
        <v>2215</v>
      </c>
    </row>
    <row r="12" spans="1:2" x14ac:dyDescent="0.3">
      <c r="A12" t="s">
        <v>35</v>
      </c>
      <c r="B12" s="13" t="s">
        <v>2216</v>
      </c>
    </row>
    <row r="13" spans="1:2" x14ac:dyDescent="0.3">
      <c r="A13" t="s">
        <v>1912</v>
      </c>
      <c r="B13" s="13" t="s">
        <v>2217</v>
      </c>
    </row>
    <row r="14" spans="1:2" x14ac:dyDescent="0.3">
      <c r="A14" t="s">
        <v>1914</v>
      </c>
      <c r="B14" s="13" t="s">
        <v>2218</v>
      </c>
    </row>
    <row r="15" spans="1:2" x14ac:dyDescent="0.3">
      <c r="A15" t="s">
        <v>1915</v>
      </c>
      <c r="B15" s="13" t="s">
        <v>2219</v>
      </c>
    </row>
    <row r="16" spans="1:2" x14ac:dyDescent="0.3">
      <c r="A16" t="s">
        <v>1916</v>
      </c>
      <c r="B16" s="13" t="s">
        <v>2220</v>
      </c>
    </row>
    <row r="17" spans="1:2" x14ac:dyDescent="0.3">
      <c r="A17" t="s">
        <v>1917</v>
      </c>
      <c r="B17" s="13" t="s">
        <v>2221</v>
      </c>
    </row>
    <row r="18" spans="1:2" x14ac:dyDescent="0.3">
      <c r="A18" t="s">
        <v>1918</v>
      </c>
      <c r="B18" s="13" t="s">
        <v>2222</v>
      </c>
    </row>
    <row r="19" spans="1:2" x14ac:dyDescent="0.3">
      <c r="A19" t="s">
        <v>1921</v>
      </c>
      <c r="B19" s="13" t="s">
        <v>2223</v>
      </c>
    </row>
    <row r="20" spans="1:2" x14ac:dyDescent="0.3">
      <c r="A20" t="s">
        <v>1919</v>
      </c>
      <c r="B20" s="13" t="s">
        <v>2224</v>
      </c>
    </row>
    <row r="21" spans="1:2" x14ac:dyDescent="0.3">
      <c r="A21" t="s">
        <v>1920</v>
      </c>
      <c r="B21" s="13" t="s">
        <v>2225</v>
      </c>
    </row>
    <row r="22" spans="1:2" x14ac:dyDescent="0.3">
      <c r="A22" t="s">
        <v>1931</v>
      </c>
      <c r="B22" s="13" t="s">
        <v>2226</v>
      </c>
    </row>
    <row r="23" spans="1:2" x14ac:dyDescent="0.3">
      <c r="A23" t="s">
        <v>1922</v>
      </c>
      <c r="B23" s="13" t="s">
        <v>2227</v>
      </c>
    </row>
    <row r="24" spans="1:2" x14ac:dyDescent="0.3">
      <c r="A24" t="s">
        <v>1924</v>
      </c>
      <c r="B24" s="13" t="s">
        <v>2228</v>
      </c>
    </row>
    <row r="25" spans="1:2" x14ac:dyDescent="0.3">
      <c r="A25" t="s">
        <v>1926</v>
      </c>
      <c r="B25" s="13" t="s">
        <v>2229</v>
      </c>
    </row>
    <row r="26" spans="1:2" x14ac:dyDescent="0.3">
      <c r="A26" t="s">
        <v>1928</v>
      </c>
      <c r="B26" s="13" t="s">
        <v>2230</v>
      </c>
    </row>
    <row r="27" spans="1:2" x14ac:dyDescent="0.3">
      <c r="A27" t="s">
        <v>1942</v>
      </c>
      <c r="B27" s="13" t="s">
        <v>2231</v>
      </c>
    </row>
    <row r="28" spans="1:2" x14ac:dyDescent="0.3">
      <c r="A28" t="s">
        <v>1297</v>
      </c>
      <c r="B28" s="13" t="s">
        <v>2232</v>
      </c>
    </row>
    <row r="29" spans="1:2" x14ac:dyDescent="0.3">
      <c r="A29" t="s">
        <v>1935</v>
      </c>
      <c r="B29" s="13" t="s">
        <v>2233</v>
      </c>
    </row>
    <row r="30" spans="1:2" x14ac:dyDescent="0.3">
      <c r="A30" t="s">
        <v>1936</v>
      </c>
      <c r="B30" s="13" t="s">
        <v>2234</v>
      </c>
    </row>
    <row r="31" spans="1:2" x14ac:dyDescent="0.3">
      <c r="A31" t="s">
        <v>1937</v>
      </c>
      <c r="B31" s="13" t="s">
        <v>2235</v>
      </c>
    </row>
    <row r="32" spans="1:2" x14ac:dyDescent="0.3">
      <c r="A32" t="s">
        <v>1989</v>
      </c>
      <c r="B32" s="13" t="s">
        <v>2236</v>
      </c>
    </row>
    <row r="33" spans="1:2" x14ac:dyDescent="0.3">
      <c r="A33" t="s">
        <v>447</v>
      </c>
      <c r="B33" s="13" t="s">
        <v>2237</v>
      </c>
    </row>
    <row r="34" spans="1:2" x14ac:dyDescent="0.3">
      <c r="A34" t="s">
        <v>2108</v>
      </c>
      <c r="B34" s="13" t="s">
        <v>2238</v>
      </c>
    </row>
    <row r="35" spans="1:2" x14ac:dyDescent="0.3">
      <c r="A35" t="s">
        <v>2010</v>
      </c>
      <c r="B35" s="13" t="s">
        <v>2239</v>
      </c>
    </row>
    <row r="36" spans="1:2" x14ac:dyDescent="0.3">
      <c r="A36" t="s">
        <v>1938</v>
      </c>
      <c r="B36" s="13" t="s">
        <v>2240</v>
      </c>
    </row>
    <row r="37" spans="1:2" x14ac:dyDescent="0.3">
      <c r="A37" t="s">
        <v>1939</v>
      </c>
      <c r="B37" s="13" t="s">
        <v>2241</v>
      </c>
    </row>
    <row r="38" spans="1:2" x14ac:dyDescent="0.3">
      <c r="A38" t="s">
        <v>1940</v>
      </c>
      <c r="B38" s="13" t="s">
        <v>2242</v>
      </c>
    </row>
    <row r="39" spans="1:2" x14ac:dyDescent="0.3">
      <c r="A39" t="s">
        <v>1941</v>
      </c>
      <c r="B39" s="13" t="s">
        <v>2243</v>
      </c>
    </row>
    <row r="40" spans="1:2" x14ac:dyDescent="0.3">
      <c r="A40" t="s">
        <v>1944</v>
      </c>
      <c r="B40" s="13" t="s">
        <v>2244</v>
      </c>
    </row>
    <row r="41" spans="1:2" x14ac:dyDescent="0.3">
      <c r="A41" t="s">
        <v>1945</v>
      </c>
      <c r="B41" s="13" t="s">
        <v>2245</v>
      </c>
    </row>
    <row r="42" spans="1:2" x14ac:dyDescent="0.3">
      <c r="A42" t="s">
        <v>51</v>
      </c>
      <c r="B42" s="13" t="s">
        <v>2246</v>
      </c>
    </row>
    <row r="43" spans="1:2" x14ac:dyDescent="0.3">
      <c r="A43" t="s">
        <v>1943</v>
      </c>
      <c r="B43" s="13" t="s">
        <v>2247</v>
      </c>
    </row>
    <row r="44" spans="1:2" x14ac:dyDescent="0.3">
      <c r="A44" t="s">
        <v>1994</v>
      </c>
      <c r="B44" s="13" t="s">
        <v>2248</v>
      </c>
    </row>
    <row r="45" spans="1:2" x14ac:dyDescent="0.3">
      <c r="A45" t="s">
        <v>2070</v>
      </c>
      <c r="B45" s="13" t="s">
        <v>2249</v>
      </c>
    </row>
    <row r="46" spans="1:2" x14ac:dyDescent="0.3">
      <c r="A46" t="s">
        <v>1947</v>
      </c>
      <c r="B46" s="13" t="s">
        <v>2250</v>
      </c>
    </row>
    <row r="47" spans="1:2" x14ac:dyDescent="0.3">
      <c r="A47" t="s">
        <v>181</v>
      </c>
      <c r="B47" s="13" t="s">
        <v>2251</v>
      </c>
    </row>
    <row r="48" spans="1:2" x14ac:dyDescent="0.3">
      <c r="A48" t="s">
        <v>1948</v>
      </c>
      <c r="B48" s="13" t="s">
        <v>2252</v>
      </c>
    </row>
    <row r="49" spans="1:2" x14ac:dyDescent="0.3">
      <c r="A49" t="s">
        <v>1991</v>
      </c>
      <c r="B49" s="13" t="s">
        <v>2253</v>
      </c>
    </row>
    <row r="50" spans="1:2" x14ac:dyDescent="0.3">
      <c r="A50" t="s">
        <v>1995</v>
      </c>
      <c r="B50" s="13" t="s">
        <v>2254</v>
      </c>
    </row>
    <row r="51" spans="1:2" x14ac:dyDescent="0.3">
      <c r="A51" t="s">
        <v>73</v>
      </c>
      <c r="B51" s="13" t="s">
        <v>2255</v>
      </c>
    </row>
    <row r="52" spans="1:2" x14ac:dyDescent="0.3">
      <c r="A52" t="s">
        <v>1950</v>
      </c>
      <c r="B52" s="13" t="s">
        <v>2256</v>
      </c>
    </row>
    <row r="53" spans="1:2" x14ac:dyDescent="0.3">
      <c r="A53" t="s">
        <v>1996</v>
      </c>
      <c r="B53" s="13" t="s">
        <v>2257</v>
      </c>
    </row>
    <row r="54" spans="1:2" x14ac:dyDescent="0.3">
      <c r="A54" t="s">
        <v>94</v>
      </c>
      <c r="B54" s="13" t="s">
        <v>2258</v>
      </c>
    </row>
    <row r="55" spans="1:2" x14ac:dyDescent="0.3">
      <c r="A55" t="s">
        <v>1953</v>
      </c>
      <c r="B55" s="13" t="s">
        <v>2259</v>
      </c>
    </row>
    <row r="56" spans="1:2" x14ac:dyDescent="0.3">
      <c r="A56" t="s">
        <v>129</v>
      </c>
      <c r="B56" s="13" t="s">
        <v>2260</v>
      </c>
    </row>
    <row r="57" spans="1:2" x14ac:dyDescent="0.3">
      <c r="A57" t="s">
        <v>1954</v>
      </c>
      <c r="B57" s="13" t="s">
        <v>2261</v>
      </c>
    </row>
    <row r="58" spans="1:2" x14ac:dyDescent="0.3">
      <c r="A58" t="s">
        <v>1949</v>
      </c>
      <c r="B58" s="13" t="s">
        <v>2262</v>
      </c>
    </row>
    <row r="59" spans="1:2" x14ac:dyDescent="0.3">
      <c r="A59" t="s">
        <v>2069</v>
      </c>
      <c r="B59" s="13" t="s">
        <v>2263</v>
      </c>
    </row>
    <row r="60" spans="1:2" x14ac:dyDescent="0.3">
      <c r="A60" t="s">
        <v>2072</v>
      </c>
      <c r="B60" s="13" t="s">
        <v>2264</v>
      </c>
    </row>
    <row r="61" spans="1:2" x14ac:dyDescent="0.3">
      <c r="A61" t="s">
        <v>1955</v>
      </c>
      <c r="B61" s="13" t="s">
        <v>2265</v>
      </c>
    </row>
    <row r="62" spans="1:2" x14ac:dyDescent="0.3">
      <c r="A62" t="s">
        <v>2126</v>
      </c>
      <c r="B62" s="13" t="s">
        <v>2266</v>
      </c>
    </row>
    <row r="63" spans="1:2" x14ac:dyDescent="0.3">
      <c r="A63" t="s">
        <v>1956</v>
      </c>
      <c r="B63" s="13" t="s">
        <v>2267</v>
      </c>
    </row>
    <row r="64" spans="1:2" x14ac:dyDescent="0.3">
      <c r="A64" t="s">
        <v>624</v>
      </c>
      <c r="B64" s="13" t="s">
        <v>2268</v>
      </c>
    </row>
    <row r="65" spans="1:2" x14ac:dyDescent="0.3">
      <c r="A65" t="s">
        <v>2111</v>
      </c>
      <c r="B65" s="13" t="s">
        <v>2269</v>
      </c>
    </row>
    <row r="66" spans="1:2" x14ac:dyDescent="0.3">
      <c r="A66" t="s">
        <v>1212</v>
      </c>
      <c r="B66" s="13" t="s">
        <v>2270</v>
      </c>
    </row>
    <row r="67" spans="1:2" x14ac:dyDescent="0.3">
      <c r="A67" t="s">
        <v>1957</v>
      </c>
      <c r="B67" s="13" t="s">
        <v>2271</v>
      </c>
    </row>
    <row r="68" spans="1:2" x14ac:dyDescent="0.3">
      <c r="A68" t="s">
        <v>682</v>
      </c>
      <c r="B68" s="13" t="s">
        <v>2272</v>
      </c>
    </row>
    <row r="69" spans="1:2" x14ac:dyDescent="0.3">
      <c r="A69" t="s">
        <v>599</v>
      </c>
      <c r="B69" s="13" t="s">
        <v>2173</v>
      </c>
    </row>
    <row r="70" spans="1:2" x14ac:dyDescent="0.3">
      <c r="A70" t="s">
        <v>1959</v>
      </c>
      <c r="B70" s="13" t="s">
        <v>2273</v>
      </c>
    </row>
    <row r="71" spans="1:2" x14ac:dyDescent="0.3">
      <c r="A71" t="s">
        <v>1962</v>
      </c>
      <c r="B71" s="13" t="s">
        <v>2274</v>
      </c>
    </row>
    <row r="72" spans="1:2" x14ac:dyDescent="0.3">
      <c r="A72" t="s">
        <v>1963</v>
      </c>
      <c r="B72" s="13" t="s">
        <v>2275</v>
      </c>
    </row>
    <row r="73" spans="1:2" x14ac:dyDescent="0.3">
      <c r="A73" t="s">
        <v>2001</v>
      </c>
      <c r="B73" s="13" t="s">
        <v>2276</v>
      </c>
    </row>
    <row r="74" spans="1:2" x14ac:dyDescent="0.3">
      <c r="A74" t="s">
        <v>1998</v>
      </c>
      <c r="B74" s="13" t="s">
        <v>2277</v>
      </c>
    </row>
    <row r="75" spans="1:2" x14ac:dyDescent="0.3">
      <c r="A75" t="s">
        <v>1964</v>
      </c>
      <c r="B75" s="13" t="s">
        <v>2278</v>
      </c>
    </row>
    <row r="76" spans="1:2" x14ac:dyDescent="0.3">
      <c r="A76" t="s">
        <v>1966</v>
      </c>
      <c r="B76" s="13" t="s">
        <v>2279</v>
      </c>
    </row>
    <row r="77" spans="1:2" x14ac:dyDescent="0.3">
      <c r="A77" t="s">
        <v>359</v>
      </c>
      <c r="B77" s="13" t="s">
        <v>2151</v>
      </c>
    </row>
    <row r="78" spans="1:2" x14ac:dyDescent="0.3">
      <c r="A78" t="s">
        <v>1977</v>
      </c>
      <c r="B78" s="13" t="s">
        <v>2280</v>
      </c>
    </row>
    <row r="79" spans="1:2" x14ac:dyDescent="0.3">
      <c r="A79" t="s">
        <v>2066</v>
      </c>
      <c r="B79" s="13" t="s">
        <v>2281</v>
      </c>
    </row>
    <row r="80" spans="1:2" x14ac:dyDescent="0.3">
      <c r="A80" t="s">
        <v>2109</v>
      </c>
      <c r="B80" s="13" t="s">
        <v>2282</v>
      </c>
    </row>
    <row r="81" spans="1:2" x14ac:dyDescent="0.3">
      <c r="A81" t="s">
        <v>1967</v>
      </c>
      <c r="B81" s="13" t="s">
        <v>2283</v>
      </c>
    </row>
    <row r="82" spans="1:2" x14ac:dyDescent="0.3">
      <c r="A82" t="s">
        <v>1968</v>
      </c>
      <c r="B82" s="13" t="s">
        <v>2284</v>
      </c>
    </row>
    <row r="83" spans="1:2" x14ac:dyDescent="0.3">
      <c r="A83" t="s">
        <v>1969</v>
      </c>
      <c r="B83" s="13" t="s">
        <v>2285</v>
      </c>
    </row>
    <row r="84" spans="1:2" x14ac:dyDescent="0.3">
      <c r="A84" t="s">
        <v>57</v>
      </c>
      <c r="B84" s="13" t="s">
        <v>2149</v>
      </c>
    </row>
    <row r="85" spans="1:2" x14ac:dyDescent="0.3">
      <c r="A85" t="s">
        <v>1970</v>
      </c>
      <c r="B85" s="13" t="s">
        <v>2286</v>
      </c>
    </row>
    <row r="86" spans="1:2" x14ac:dyDescent="0.3">
      <c r="A86" t="s">
        <v>1971</v>
      </c>
      <c r="B86" s="13" t="s">
        <v>2287</v>
      </c>
    </row>
    <row r="87" spans="1:2" x14ac:dyDescent="0.3">
      <c r="A87" t="s">
        <v>1973</v>
      </c>
      <c r="B87" s="13" t="s">
        <v>2288</v>
      </c>
    </row>
    <row r="88" spans="1:2" x14ac:dyDescent="0.3">
      <c r="A88" t="s">
        <v>1974</v>
      </c>
      <c r="B88" s="13" t="s">
        <v>2289</v>
      </c>
    </row>
    <row r="89" spans="1:2" x14ac:dyDescent="0.3">
      <c r="A89" t="s">
        <v>1972</v>
      </c>
      <c r="B89" s="13" t="s">
        <v>2290</v>
      </c>
    </row>
    <row r="90" spans="1:2" x14ac:dyDescent="0.3">
      <c r="A90" t="s">
        <v>1975</v>
      </c>
      <c r="B90" s="13" t="s">
        <v>2291</v>
      </c>
    </row>
    <row r="91" spans="1:2" x14ac:dyDescent="0.3">
      <c r="A91" t="s">
        <v>1976</v>
      </c>
      <c r="B91" s="13" t="s">
        <v>2292</v>
      </c>
    </row>
    <row r="92" spans="1:2" x14ac:dyDescent="0.3">
      <c r="A92" t="s">
        <v>902</v>
      </c>
      <c r="B92" s="13" t="s">
        <v>2293</v>
      </c>
    </row>
    <row r="93" spans="1:2" x14ac:dyDescent="0.3">
      <c r="A93" t="s">
        <v>1978</v>
      </c>
      <c r="B93" s="13" t="s">
        <v>2294</v>
      </c>
    </row>
    <row r="94" spans="1:2" x14ac:dyDescent="0.3">
      <c r="A94" t="s">
        <v>1979</v>
      </c>
      <c r="B94" s="13" t="s">
        <v>2295</v>
      </c>
    </row>
    <row r="95" spans="1:2" x14ac:dyDescent="0.3">
      <c r="A95" t="s">
        <v>1980</v>
      </c>
      <c r="B95" s="13" t="s">
        <v>2296</v>
      </c>
    </row>
    <row r="96" spans="1:2" x14ac:dyDescent="0.3">
      <c r="A96" t="s">
        <v>1981</v>
      </c>
      <c r="B96" s="13" t="s">
        <v>2297</v>
      </c>
    </row>
    <row r="97" spans="1:2" x14ac:dyDescent="0.3">
      <c r="A97" t="s">
        <v>1982</v>
      </c>
      <c r="B97" s="13" t="s">
        <v>2298</v>
      </c>
    </row>
    <row r="98" spans="1:2" x14ac:dyDescent="0.3">
      <c r="A98" t="s">
        <v>2000</v>
      </c>
      <c r="B98" s="13" t="s">
        <v>2299</v>
      </c>
    </row>
    <row r="99" spans="1:2" x14ac:dyDescent="0.3">
      <c r="A99" t="s">
        <v>1122</v>
      </c>
      <c r="B99" s="13" t="s">
        <v>2156</v>
      </c>
    </row>
    <row r="100" spans="1:2" x14ac:dyDescent="0.3">
      <c r="A100" t="s">
        <v>1983</v>
      </c>
      <c r="B100" s="13" t="s">
        <v>2300</v>
      </c>
    </row>
    <row r="101" spans="1:2" x14ac:dyDescent="0.3">
      <c r="A101" t="s">
        <v>1984</v>
      </c>
      <c r="B101" s="13" t="s">
        <v>2301</v>
      </c>
    </row>
    <row r="102" spans="1:2" x14ac:dyDescent="0.3">
      <c r="A102" t="s">
        <v>1993</v>
      </c>
      <c r="B102" s="13" t="s">
        <v>2302</v>
      </c>
    </row>
    <row r="103" spans="1:2" x14ac:dyDescent="0.3">
      <c r="A103" t="s">
        <v>1985</v>
      </c>
      <c r="B103" s="13" t="s">
        <v>2303</v>
      </c>
    </row>
    <row r="104" spans="1:2" x14ac:dyDescent="0.3">
      <c r="A104" t="s">
        <v>1986</v>
      </c>
      <c r="B104" s="13" t="s">
        <v>2304</v>
      </c>
    </row>
    <row r="105" spans="1:2" x14ac:dyDescent="0.3">
      <c r="A105" t="s">
        <v>1988</v>
      </c>
      <c r="B105" s="13" t="s">
        <v>2305</v>
      </c>
    </row>
    <row r="106" spans="1:2" x14ac:dyDescent="0.3">
      <c r="A106" t="s">
        <v>1987</v>
      </c>
      <c r="B106" s="13" t="s">
        <v>2306</v>
      </c>
    </row>
    <row r="107" spans="1:2" x14ac:dyDescent="0.3">
      <c r="A107" t="s">
        <v>1671</v>
      </c>
      <c r="B107" s="13" t="s">
        <v>2307</v>
      </c>
    </row>
    <row r="108" spans="1:2" x14ac:dyDescent="0.3">
      <c r="A108" t="s">
        <v>1990</v>
      </c>
      <c r="B108" s="13" t="s">
        <v>2308</v>
      </c>
    </row>
    <row r="109" spans="1:2" x14ac:dyDescent="0.3">
      <c r="A109" t="s">
        <v>2012</v>
      </c>
      <c r="B109" s="13" t="s">
        <v>2309</v>
      </c>
    </row>
    <row r="110" spans="1:2" x14ac:dyDescent="0.3">
      <c r="A110" t="s">
        <v>604</v>
      </c>
      <c r="B110" s="13" t="s">
        <v>2310</v>
      </c>
    </row>
    <row r="111" spans="1:2" x14ac:dyDescent="0.3">
      <c r="A111" t="s">
        <v>1952</v>
      </c>
      <c r="B111" s="13" t="s">
        <v>2311</v>
      </c>
    </row>
    <row r="112" spans="1:2" x14ac:dyDescent="0.3">
      <c r="A112" t="s">
        <v>2013</v>
      </c>
      <c r="B112" s="13" t="s">
        <v>2312</v>
      </c>
    </row>
    <row r="113" spans="1:2" x14ac:dyDescent="0.3">
      <c r="A113" t="s">
        <v>965</v>
      </c>
      <c r="B113" s="13" t="s">
        <v>2313</v>
      </c>
    </row>
    <row r="114" spans="1:2" x14ac:dyDescent="0.3">
      <c r="A114" t="s">
        <v>2014</v>
      </c>
      <c r="B114" s="13" t="s">
        <v>2314</v>
      </c>
    </row>
    <row r="115" spans="1:2" x14ac:dyDescent="0.3">
      <c r="A115" t="s">
        <v>2015</v>
      </c>
      <c r="B115" s="13" t="s">
        <v>2315</v>
      </c>
    </row>
    <row r="116" spans="1:2" x14ac:dyDescent="0.3">
      <c r="A116" t="s">
        <v>2016</v>
      </c>
      <c r="B116" s="13" t="s">
        <v>2316</v>
      </c>
    </row>
    <row r="117" spans="1:2" x14ac:dyDescent="0.3">
      <c r="A117" t="s">
        <v>2017</v>
      </c>
      <c r="B117" s="13" t="s">
        <v>2317</v>
      </c>
    </row>
    <row r="118" spans="1:2" x14ac:dyDescent="0.3">
      <c r="A118" t="s">
        <v>2019</v>
      </c>
      <c r="B118" s="13" t="s">
        <v>2318</v>
      </c>
    </row>
    <row r="119" spans="1:2" x14ac:dyDescent="0.3">
      <c r="A119" t="s">
        <v>2020</v>
      </c>
      <c r="B119" s="13" t="s">
        <v>2319</v>
      </c>
    </row>
    <row r="120" spans="1:2" x14ac:dyDescent="0.3">
      <c r="A120" t="s">
        <v>2021</v>
      </c>
      <c r="B120" s="13" t="s">
        <v>2320</v>
      </c>
    </row>
    <row r="121" spans="1:2" x14ac:dyDescent="0.3">
      <c r="A121" t="s">
        <v>2018</v>
      </c>
      <c r="B121" s="13" t="s">
        <v>2321</v>
      </c>
    </row>
    <row r="122" spans="1:2" x14ac:dyDescent="0.3">
      <c r="A122" t="s">
        <v>2022</v>
      </c>
      <c r="B122" s="13" t="s">
        <v>2322</v>
      </c>
    </row>
    <row r="123" spans="1:2" x14ac:dyDescent="0.3">
      <c r="A123" t="s">
        <v>2024</v>
      </c>
      <c r="B123" s="13" t="s">
        <v>2323</v>
      </c>
    </row>
    <row r="124" spans="1:2" x14ac:dyDescent="0.3">
      <c r="A124" t="s">
        <v>2025</v>
      </c>
      <c r="B124" s="13" t="s">
        <v>2324</v>
      </c>
    </row>
    <row r="125" spans="1:2" x14ac:dyDescent="0.3">
      <c r="A125" t="s">
        <v>2023</v>
      </c>
      <c r="B125" s="13" t="s">
        <v>2325</v>
      </c>
    </row>
    <row r="126" spans="1:2" x14ac:dyDescent="0.3">
      <c r="A126" t="s">
        <v>2026</v>
      </c>
      <c r="B126" s="13" t="s">
        <v>2326</v>
      </c>
    </row>
    <row r="127" spans="1:2" x14ac:dyDescent="0.3">
      <c r="A127" t="s">
        <v>2027</v>
      </c>
      <c r="B127" s="13" t="s">
        <v>2327</v>
      </c>
    </row>
    <row r="128" spans="1:2" x14ac:dyDescent="0.3">
      <c r="A128" t="s">
        <v>2028</v>
      </c>
      <c r="B128" s="13" t="s">
        <v>2328</v>
      </c>
    </row>
    <row r="129" spans="1:2" x14ac:dyDescent="0.3">
      <c r="A129" t="s">
        <v>2029</v>
      </c>
      <c r="B129" s="13" t="s">
        <v>2329</v>
      </c>
    </row>
    <row r="130" spans="1:2" x14ac:dyDescent="0.3">
      <c r="A130" t="s">
        <v>2030</v>
      </c>
      <c r="B130" s="13" t="s">
        <v>2330</v>
      </c>
    </row>
    <row r="131" spans="1:2" x14ac:dyDescent="0.3">
      <c r="A131" t="s">
        <v>2031</v>
      </c>
      <c r="B131" s="13" t="s">
        <v>2331</v>
      </c>
    </row>
    <row r="132" spans="1:2" x14ac:dyDescent="0.3">
      <c r="A132" t="s">
        <v>2032</v>
      </c>
      <c r="B132" s="13" t="s">
        <v>2332</v>
      </c>
    </row>
    <row r="133" spans="1:2" x14ac:dyDescent="0.3">
      <c r="A133" t="s">
        <v>2033</v>
      </c>
      <c r="B133" s="13" t="s">
        <v>2333</v>
      </c>
    </row>
    <row r="134" spans="1:2" x14ac:dyDescent="0.3">
      <c r="A134" t="s">
        <v>2035</v>
      </c>
      <c r="B134" s="13" t="s">
        <v>2334</v>
      </c>
    </row>
    <row r="135" spans="1:2" x14ac:dyDescent="0.3">
      <c r="A135" t="s">
        <v>2034</v>
      </c>
      <c r="B135" s="13" t="s">
        <v>2335</v>
      </c>
    </row>
    <row r="136" spans="1:2" x14ac:dyDescent="0.3">
      <c r="A136" t="s">
        <v>2036</v>
      </c>
      <c r="B136" s="13" t="s">
        <v>2336</v>
      </c>
    </row>
    <row r="137" spans="1:2" x14ac:dyDescent="0.3">
      <c r="A137" t="s">
        <v>2037</v>
      </c>
      <c r="B137" s="13" t="s">
        <v>2337</v>
      </c>
    </row>
    <row r="138" spans="1:2" x14ac:dyDescent="0.3">
      <c r="A138" t="s">
        <v>2038</v>
      </c>
      <c r="B138" s="13" t="s">
        <v>2338</v>
      </c>
    </row>
    <row r="139" spans="1:2" x14ac:dyDescent="0.3">
      <c r="A139" t="s">
        <v>2003</v>
      </c>
      <c r="B139" s="13" t="s">
        <v>2339</v>
      </c>
    </row>
    <row r="140" spans="1:2" x14ac:dyDescent="0.3">
      <c r="A140" t="s">
        <v>2040</v>
      </c>
      <c r="B140" s="13" t="s">
        <v>2340</v>
      </c>
    </row>
    <row r="141" spans="1:2" x14ac:dyDescent="0.3">
      <c r="A141" t="s">
        <v>2042</v>
      </c>
      <c r="B141" s="13" t="s">
        <v>2341</v>
      </c>
    </row>
    <row r="142" spans="1:2" x14ac:dyDescent="0.3">
      <c r="A142" t="s">
        <v>2041</v>
      </c>
      <c r="B142" s="13" t="s">
        <v>2342</v>
      </c>
    </row>
    <row r="143" spans="1:2" x14ac:dyDescent="0.3">
      <c r="A143" t="s">
        <v>2043</v>
      </c>
      <c r="B143" s="13" t="s">
        <v>2343</v>
      </c>
    </row>
    <row r="144" spans="1:2" x14ac:dyDescent="0.3">
      <c r="A144" t="s">
        <v>43</v>
      </c>
      <c r="B144" s="13" t="s">
        <v>2344</v>
      </c>
    </row>
    <row r="145" spans="1:2" x14ac:dyDescent="0.3">
      <c r="A145" t="s">
        <v>2044</v>
      </c>
      <c r="B145" s="13" t="s">
        <v>2345</v>
      </c>
    </row>
    <row r="146" spans="1:2" x14ac:dyDescent="0.3">
      <c r="A146" t="s">
        <v>2045</v>
      </c>
      <c r="B146" s="13" t="s">
        <v>2346</v>
      </c>
    </row>
    <row r="147" spans="1:2" x14ac:dyDescent="0.3">
      <c r="A147" t="s">
        <v>2046</v>
      </c>
      <c r="B147" s="13" t="s">
        <v>2347</v>
      </c>
    </row>
    <row r="148" spans="1:2" x14ac:dyDescent="0.3">
      <c r="A148" t="s">
        <v>2047</v>
      </c>
      <c r="B148" s="13" t="s">
        <v>2348</v>
      </c>
    </row>
    <row r="149" spans="1:2" x14ac:dyDescent="0.3">
      <c r="A149" t="s">
        <v>2048</v>
      </c>
      <c r="B149" s="13" t="s">
        <v>2349</v>
      </c>
    </row>
    <row r="150" spans="1:2" x14ac:dyDescent="0.3">
      <c r="A150" t="s">
        <v>2049</v>
      </c>
      <c r="B150" s="13" t="s">
        <v>2350</v>
      </c>
    </row>
    <row r="151" spans="1:2" x14ac:dyDescent="0.3">
      <c r="A151" t="s">
        <v>2039</v>
      </c>
      <c r="B151" s="13" t="s">
        <v>2351</v>
      </c>
    </row>
    <row r="152" spans="1:2" x14ac:dyDescent="0.3">
      <c r="A152" t="s">
        <v>2050</v>
      </c>
      <c r="B152" s="13" t="s">
        <v>2352</v>
      </c>
    </row>
    <row r="153" spans="1:2" x14ac:dyDescent="0.3">
      <c r="A153" t="s">
        <v>2051</v>
      </c>
      <c r="B153" s="13" t="s">
        <v>2353</v>
      </c>
    </row>
    <row r="154" spans="1:2" x14ac:dyDescent="0.3">
      <c r="A154" t="s">
        <v>2052</v>
      </c>
      <c r="B154" s="13" t="s">
        <v>2354</v>
      </c>
    </row>
    <row r="155" spans="1:2" x14ac:dyDescent="0.3">
      <c r="A155" t="s">
        <v>2053</v>
      </c>
      <c r="B155" s="13" t="s">
        <v>2355</v>
      </c>
    </row>
    <row r="156" spans="1:2" x14ac:dyDescent="0.3">
      <c r="A156" t="s">
        <v>2054</v>
      </c>
      <c r="B156" s="13" t="s">
        <v>2356</v>
      </c>
    </row>
    <row r="157" spans="1:2" x14ac:dyDescent="0.3">
      <c r="A157" t="s">
        <v>1400</v>
      </c>
      <c r="B157" s="13" t="s">
        <v>2357</v>
      </c>
    </row>
    <row r="158" spans="1:2" x14ac:dyDescent="0.3">
      <c r="A158" t="s">
        <v>1907</v>
      </c>
      <c r="B158" s="13" t="s">
        <v>2358</v>
      </c>
    </row>
    <row r="159" spans="1:2" x14ac:dyDescent="0.3">
      <c r="A159" t="s">
        <v>2059</v>
      </c>
      <c r="B159" s="13" t="s">
        <v>2359</v>
      </c>
    </row>
    <row r="160" spans="1:2" x14ac:dyDescent="0.3">
      <c r="A160" t="s">
        <v>2060</v>
      </c>
      <c r="B160" s="13" t="s">
        <v>2360</v>
      </c>
    </row>
    <row r="161" spans="1:2" x14ac:dyDescent="0.3">
      <c r="A161" t="s">
        <v>408</v>
      </c>
      <c r="B161" s="13" t="s">
        <v>2361</v>
      </c>
    </row>
    <row r="162" spans="1:2" x14ac:dyDescent="0.3">
      <c r="A162" t="s">
        <v>2055</v>
      </c>
      <c r="B162" s="13" t="s">
        <v>2362</v>
      </c>
    </row>
    <row r="163" spans="1:2" x14ac:dyDescent="0.3">
      <c r="A163" t="s">
        <v>2056</v>
      </c>
      <c r="B163" s="13" t="s">
        <v>2363</v>
      </c>
    </row>
    <row r="164" spans="1:2" x14ac:dyDescent="0.3">
      <c r="A164" t="s">
        <v>2057</v>
      </c>
      <c r="B164" s="13" t="s">
        <v>2364</v>
      </c>
    </row>
    <row r="165" spans="1:2" x14ac:dyDescent="0.3">
      <c r="A165" t="s">
        <v>1992</v>
      </c>
      <c r="B165" s="13" t="s">
        <v>2365</v>
      </c>
    </row>
    <row r="166" spans="1:2" x14ac:dyDescent="0.3">
      <c r="A166" t="s">
        <v>1951</v>
      </c>
      <c r="B166" s="13" t="s">
        <v>2366</v>
      </c>
    </row>
    <row r="167" spans="1:2" x14ac:dyDescent="0.3">
      <c r="A167" t="s">
        <v>2002</v>
      </c>
      <c r="B167" s="13" t="s">
        <v>2367</v>
      </c>
    </row>
    <row r="168" spans="1:2" x14ac:dyDescent="0.3">
      <c r="A168" t="s">
        <v>2058</v>
      </c>
      <c r="B168" s="13" t="s">
        <v>2368</v>
      </c>
    </row>
    <row r="169" spans="1:2" x14ac:dyDescent="0.3">
      <c r="A169" t="s">
        <v>2061</v>
      </c>
      <c r="B169" s="13" t="s">
        <v>2369</v>
      </c>
    </row>
    <row r="170" spans="1:2" x14ac:dyDescent="0.3">
      <c r="A170" t="s">
        <v>2062</v>
      </c>
      <c r="B170" s="13" t="s">
        <v>2370</v>
      </c>
    </row>
    <row r="171" spans="1:2" x14ac:dyDescent="0.3">
      <c r="A171" t="s">
        <v>2063</v>
      </c>
      <c r="B171" s="13" t="s">
        <v>2371</v>
      </c>
    </row>
    <row r="172" spans="1:2" x14ac:dyDescent="0.3">
      <c r="A172" t="s">
        <v>2110</v>
      </c>
      <c r="B172" s="13" t="s">
        <v>2372</v>
      </c>
    </row>
    <row r="173" spans="1:2" x14ac:dyDescent="0.3">
      <c r="A173" t="s">
        <v>19</v>
      </c>
      <c r="B173" s="13" t="s">
        <v>2373</v>
      </c>
    </row>
    <row r="174" spans="1:2" x14ac:dyDescent="0.3">
      <c r="A174" t="s">
        <v>2064</v>
      </c>
      <c r="B174" s="13" t="s">
        <v>2374</v>
      </c>
    </row>
    <row r="175" spans="1:2" x14ac:dyDescent="0.3">
      <c r="A175" t="s">
        <v>2065</v>
      </c>
      <c r="B175" s="13" t="s">
        <v>2375</v>
      </c>
    </row>
    <row r="176" spans="1:2" x14ac:dyDescent="0.3">
      <c r="A176" t="s">
        <v>946</v>
      </c>
      <c r="B176" s="13" t="s">
        <v>2376</v>
      </c>
    </row>
    <row r="177" spans="1:2" x14ac:dyDescent="0.3">
      <c r="A177" t="s">
        <v>1965</v>
      </c>
      <c r="B177" s="13" t="s">
        <v>2377</v>
      </c>
    </row>
    <row r="178" spans="1:2" x14ac:dyDescent="0.3">
      <c r="A178" t="s">
        <v>2005</v>
      </c>
      <c r="B178" s="13" t="s">
        <v>2378</v>
      </c>
    </row>
    <row r="179" spans="1:2" x14ac:dyDescent="0.3">
      <c r="A179" t="s">
        <v>1042</v>
      </c>
      <c r="B179" s="13" t="s">
        <v>2379</v>
      </c>
    </row>
    <row r="180" spans="1:2" x14ac:dyDescent="0.3">
      <c r="A180" t="s">
        <v>2067</v>
      </c>
      <c r="B180" s="13" t="s">
        <v>2380</v>
      </c>
    </row>
    <row r="181" spans="1:2" x14ac:dyDescent="0.3">
      <c r="A181" t="s">
        <v>2068</v>
      </c>
      <c r="B181" s="13" t="s">
        <v>2381</v>
      </c>
    </row>
    <row r="182" spans="1:2" x14ac:dyDescent="0.3">
      <c r="A182" t="s">
        <v>1946</v>
      </c>
      <c r="B182" s="13" t="s">
        <v>2382</v>
      </c>
    </row>
    <row r="183" spans="1:2" x14ac:dyDescent="0.3">
      <c r="A183" t="s">
        <v>2071</v>
      </c>
      <c r="B183" s="13" t="s">
        <v>2383</v>
      </c>
    </row>
    <row r="184" spans="1:2" x14ac:dyDescent="0.3">
      <c r="A184" t="s">
        <v>2074</v>
      </c>
      <c r="B184" s="13" t="s">
        <v>2384</v>
      </c>
    </row>
    <row r="185" spans="1:2" x14ac:dyDescent="0.3">
      <c r="A185" t="s">
        <v>2076</v>
      </c>
      <c r="B185" s="13" t="s">
        <v>2385</v>
      </c>
    </row>
    <row r="186" spans="1:2" x14ac:dyDescent="0.3">
      <c r="A186" t="s">
        <v>2077</v>
      </c>
      <c r="B186" s="13" t="s">
        <v>2386</v>
      </c>
    </row>
    <row r="187" spans="1:2" x14ac:dyDescent="0.3">
      <c r="A187" t="s">
        <v>2075</v>
      </c>
      <c r="B187" s="13" t="s">
        <v>2387</v>
      </c>
    </row>
    <row r="188" spans="1:2" x14ac:dyDescent="0.3">
      <c r="A188" t="s">
        <v>2081</v>
      </c>
      <c r="B188" s="13" t="s">
        <v>2388</v>
      </c>
    </row>
    <row r="189" spans="1:2" x14ac:dyDescent="0.3">
      <c r="A189" t="s">
        <v>2088</v>
      </c>
      <c r="B189" s="13" t="s">
        <v>2389</v>
      </c>
    </row>
    <row r="190" spans="1:2" x14ac:dyDescent="0.3">
      <c r="A190" t="s">
        <v>2082</v>
      </c>
      <c r="B190" s="13" t="s">
        <v>2390</v>
      </c>
    </row>
    <row r="191" spans="1:2" x14ac:dyDescent="0.3">
      <c r="A191" t="s">
        <v>2089</v>
      </c>
      <c r="B191" s="13" t="s">
        <v>2391</v>
      </c>
    </row>
    <row r="192" spans="1:2" x14ac:dyDescent="0.3">
      <c r="A192" t="s">
        <v>2084</v>
      </c>
      <c r="B192" s="13" t="s">
        <v>2392</v>
      </c>
    </row>
    <row r="193" spans="1:2" x14ac:dyDescent="0.3">
      <c r="A193" t="s">
        <v>2086</v>
      </c>
      <c r="B193" s="13" t="s">
        <v>2393</v>
      </c>
    </row>
    <row r="194" spans="1:2" x14ac:dyDescent="0.3">
      <c r="A194" t="s">
        <v>2087</v>
      </c>
      <c r="B194" s="13" t="s">
        <v>2394</v>
      </c>
    </row>
    <row r="195" spans="1:2" x14ac:dyDescent="0.3">
      <c r="A195" t="s">
        <v>2080</v>
      </c>
      <c r="B195" s="13" t="s">
        <v>2395</v>
      </c>
    </row>
    <row r="196" spans="1:2" x14ac:dyDescent="0.3">
      <c r="A196" t="s">
        <v>2083</v>
      </c>
      <c r="B196" s="13" t="s">
        <v>2396</v>
      </c>
    </row>
    <row r="197" spans="1:2" x14ac:dyDescent="0.3">
      <c r="A197" t="s">
        <v>2090</v>
      </c>
      <c r="B197" s="13" t="s">
        <v>2397</v>
      </c>
    </row>
    <row r="198" spans="1:2" x14ac:dyDescent="0.3">
      <c r="A198" t="s">
        <v>1909</v>
      </c>
      <c r="B198" s="13" t="s">
        <v>2398</v>
      </c>
    </row>
    <row r="199" spans="1:2" x14ac:dyDescent="0.3">
      <c r="A199" t="s">
        <v>2091</v>
      </c>
      <c r="B199" s="13" t="s">
        <v>2399</v>
      </c>
    </row>
    <row r="200" spans="1:2" x14ac:dyDescent="0.3">
      <c r="A200" t="s">
        <v>2092</v>
      </c>
      <c r="B200" s="13" t="s">
        <v>2400</v>
      </c>
    </row>
    <row r="201" spans="1:2" x14ac:dyDescent="0.3">
      <c r="A201" t="s">
        <v>2093</v>
      </c>
      <c r="B201" s="13" t="s">
        <v>2401</v>
      </c>
    </row>
    <row r="202" spans="1:2" x14ac:dyDescent="0.3">
      <c r="A202" t="s">
        <v>2094</v>
      </c>
      <c r="B202" s="13" t="s">
        <v>2402</v>
      </c>
    </row>
    <row r="203" spans="1:2" x14ac:dyDescent="0.3">
      <c r="A203" t="s">
        <v>2095</v>
      </c>
      <c r="B203" s="13" t="s">
        <v>2403</v>
      </c>
    </row>
    <row r="204" spans="1:2" x14ac:dyDescent="0.3">
      <c r="A204" t="s">
        <v>2096</v>
      </c>
      <c r="B204" s="13" t="s">
        <v>2404</v>
      </c>
    </row>
    <row r="205" spans="1:2" x14ac:dyDescent="0.3">
      <c r="A205" t="s">
        <v>2085</v>
      </c>
      <c r="B205" s="13" t="s">
        <v>2405</v>
      </c>
    </row>
    <row r="206" spans="1:2" x14ac:dyDescent="0.3">
      <c r="A206" t="s">
        <v>1960</v>
      </c>
      <c r="B206" s="13" t="s">
        <v>2406</v>
      </c>
    </row>
    <row r="207" spans="1:2" x14ac:dyDescent="0.3">
      <c r="A207" t="s">
        <v>1961</v>
      </c>
      <c r="B207" s="13" t="s">
        <v>2407</v>
      </c>
    </row>
    <row r="208" spans="1:2" x14ac:dyDescent="0.3">
      <c r="A208" t="s">
        <v>2006</v>
      </c>
      <c r="B208" s="13" t="s">
        <v>2408</v>
      </c>
    </row>
    <row r="209" spans="1:2" x14ac:dyDescent="0.3">
      <c r="A209" t="s">
        <v>2098</v>
      </c>
      <c r="B209" s="13" t="s">
        <v>2409</v>
      </c>
    </row>
    <row r="210" spans="1:2" x14ac:dyDescent="0.3">
      <c r="A210" t="s">
        <v>2101</v>
      </c>
      <c r="B210" s="13" t="s">
        <v>2410</v>
      </c>
    </row>
    <row r="211" spans="1:2" x14ac:dyDescent="0.3">
      <c r="A211" t="s">
        <v>1999</v>
      </c>
      <c r="B211" s="13" t="s">
        <v>2411</v>
      </c>
    </row>
    <row r="212" spans="1:2" x14ac:dyDescent="0.3">
      <c r="A212" t="s">
        <v>564</v>
      </c>
      <c r="B212" s="13" t="s">
        <v>2203</v>
      </c>
    </row>
    <row r="213" spans="1:2" x14ac:dyDescent="0.3">
      <c r="A213" t="s">
        <v>2103</v>
      </c>
      <c r="B213" s="13" t="s">
        <v>2412</v>
      </c>
    </row>
    <row r="214" spans="1:2" x14ac:dyDescent="0.3">
      <c r="A214" t="s">
        <v>99</v>
      </c>
      <c r="B214" s="13" t="s">
        <v>2146</v>
      </c>
    </row>
    <row r="215" spans="1:2" x14ac:dyDescent="0.3">
      <c r="A215" t="s">
        <v>2099</v>
      </c>
      <c r="B215" s="13" t="s">
        <v>2413</v>
      </c>
    </row>
    <row r="216" spans="1:2" x14ac:dyDescent="0.3">
      <c r="A216" t="s">
        <v>2102</v>
      </c>
      <c r="B216" s="13" t="s">
        <v>2414</v>
      </c>
    </row>
    <row r="217" spans="1:2" x14ac:dyDescent="0.3">
      <c r="A217" t="s">
        <v>2104</v>
      </c>
      <c r="B217" s="13" t="s">
        <v>2415</v>
      </c>
    </row>
    <row r="218" spans="1:2" x14ac:dyDescent="0.3">
      <c r="A218" t="s">
        <v>2007</v>
      </c>
      <c r="B218" s="13" t="s">
        <v>2416</v>
      </c>
    </row>
    <row r="219" spans="1:2" x14ac:dyDescent="0.3">
      <c r="A219" t="s">
        <v>2100</v>
      </c>
      <c r="B219" s="13" t="s">
        <v>2417</v>
      </c>
    </row>
    <row r="220" spans="1:2" x14ac:dyDescent="0.3">
      <c r="A220" t="s">
        <v>318</v>
      </c>
      <c r="B220" s="13" t="s">
        <v>2418</v>
      </c>
    </row>
    <row r="221" spans="1:2" x14ac:dyDescent="0.3">
      <c r="A221" t="s">
        <v>230</v>
      </c>
      <c r="B221" s="13" t="s">
        <v>2419</v>
      </c>
    </row>
    <row r="222" spans="1:2" x14ac:dyDescent="0.3">
      <c r="A222" t="s">
        <v>2097</v>
      </c>
      <c r="B222" s="13" t="s">
        <v>2420</v>
      </c>
    </row>
    <row r="223" spans="1:2" x14ac:dyDescent="0.3">
      <c r="A223" t="s">
        <v>29</v>
      </c>
      <c r="B223" s="13" t="s">
        <v>2143</v>
      </c>
    </row>
    <row r="224" spans="1:2" x14ac:dyDescent="0.3">
      <c r="A224" t="s">
        <v>2107</v>
      </c>
      <c r="B224" s="13" t="s">
        <v>2421</v>
      </c>
    </row>
    <row r="225" spans="1:2" x14ac:dyDescent="0.3">
      <c r="A225" t="s">
        <v>2106</v>
      </c>
      <c r="B225" s="13" t="s">
        <v>2422</v>
      </c>
    </row>
    <row r="226" spans="1:2" x14ac:dyDescent="0.3">
      <c r="A226" t="s">
        <v>2105</v>
      </c>
      <c r="B226" s="13" t="s">
        <v>2423</v>
      </c>
    </row>
    <row r="227" spans="1:2" x14ac:dyDescent="0.3">
      <c r="A227" t="s">
        <v>2073</v>
      </c>
      <c r="B227" s="13" t="s">
        <v>2424</v>
      </c>
    </row>
    <row r="228" spans="1:2" x14ac:dyDescent="0.3">
      <c r="A228" t="s">
        <v>2008</v>
      </c>
      <c r="B228" s="13" t="s">
        <v>2425</v>
      </c>
    </row>
    <row r="229" spans="1:2" x14ac:dyDescent="0.3">
      <c r="A229" t="s">
        <v>2112</v>
      </c>
      <c r="B229" s="13" t="s">
        <v>2426</v>
      </c>
    </row>
    <row r="230" spans="1:2" x14ac:dyDescent="0.3">
      <c r="A230" t="s">
        <v>2113</v>
      </c>
      <c r="B230" s="13" t="s">
        <v>2427</v>
      </c>
    </row>
    <row r="231" spans="1:2" x14ac:dyDescent="0.3">
      <c r="A231" t="s">
        <v>2114</v>
      </c>
      <c r="B231" s="13" t="s">
        <v>2428</v>
      </c>
    </row>
    <row r="232" spans="1:2" x14ac:dyDescent="0.3">
      <c r="A232" t="s">
        <v>1614</v>
      </c>
      <c r="B232" s="13" t="s">
        <v>2429</v>
      </c>
    </row>
    <row r="233" spans="1:2" x14ac:dyDescent="0.3">
      <c r="A233" t="s">
        <v>2115</v>
      </c>
      <c r="B233" s="13" t="s">
        <v>2430</v>
      </c>
    </row>
    <row r="234" spans="1:2" x14ac:dyDescent="0.3">
      <c r="A234" t="s">
        <v>2009</v>
      </c>
      <c r="B234" s="13" t="s">
        <v>2431</v>
      </c>
    </row>
    <row r="235" spans="1:2" x14ac:dyDescent="0.3">
      <c r="A235" t="s">
        <v>2116</v>
      </c>
      <c r="B235" s="13" t="s">
        <v>2432</v>
      </c>
    </row>
    <row r="236" spans="1:2" x14ac:dyDescent="0.3">
      <c r="A236" t="s">
        <v>2011</v>
      </c>
      <c r="B236" s="13" t="s">
        <v>2433</v>
      </c>
    </row>
    <row r="237" spans="1:2" x14ac:dyDescent="0.3">
      <c r="A237" t="s">
        <v>2118</v>
      </c>
      <c r="B237" s="13" t="s">
        <v>2434</v>
      </c>
    </row>
    <row r="238" spans="1:2" x14ac:dyDescent="0.3">
      <c r="A238" t="s">
        <v>2117</v>
      </c>
      <c r="B238" s="13" t="s">
        <v>2435</v>
      </c>
    </row>
    <row r="239" spans="1:2" x14ac:dyDescent="0.3">
      <c r="A239" t="s">
        <v>1958</v>
      </c>
      <c r="B239" s="13" t="s">
        <v>2436</v>
      </c>
    </row>
    <row r="240" spans="1:2" x14ac:dyDescent="0.3">
      <c r="A240" t="s">
        <v>933</v>
      </c>
      <c r="B240" s="13" t="s">
        <v>2437</v>
      </c>
    </row>
    <row r="241" spans="1:2" x14ac:dyDescent="0.3">
      <c r="A241" t="s">
        <v>2438</v>
      </c>
      <c r="B241" s="13" t="s">
        <v>2153</v>
      </c>
    </row>
    <row r="242" spans="1:2" x14ac:dyDescent="0.3">
      <c r="A242" t="s">
        <v>2004</v>
      </c>
      <c r="B242" s="13" t="s">
        <v>2439</v>
      </c>
    </row>
    <row r="243" spans="1:2" x14ac:dyDescent="0.3">
      <c r="A243" t="s">
        <v>1770</v>
      </c>
      <c r="B243" s="13" t="s">
        <v>2440</v>
      </c>
    </row>
    <row r="244" spans="1:2" x14ac:dyDescent="0.3">
      <c r="A244" t="s">
        <v>2119</v>
      </c>
      <c r="B244" s="13" t="s">
        <v>2441</v>
      </c>
    </row>
    <row r="245" spans="1:2" x14ac:dyDescent="0.3">
      <c r="A245" t="s">
        <v>2120</v>
      </c>
      <c r="B245" s="13" t="s">
        <v>2442</v>
      </c>
    </row>
    <row r="246" spans="1:2" x14ac:dyDescent="0.3">
      <c r="A246" t="s">
        <v>2121</v>
      </c>
      <c r="B246" s="13" t="s">
        <v>2443</v>
      </c>
    </row>
    <row r="247" spans="1:2" x14ac:dyDescent="0.3">
      <c r="A247" t="s">
        <v>2122</v>
      </c>
      <c r="B247" s="13" t="s">
        <v>2444</v>
      </c>
    </row>
    <row r="248" spans="1:2" x14ac:dyDescent="0.3">
      <c r="A248" t="s">
        <v>2123</v>
      </c>
      <c r="B248" s="13" t="s">
        <v>2445</v>
      </c>
    </row>
    <row r="249" spans="1:2" x14ac:dyDescent="0.3">
      <c r="A249" t="s">
        <v>2124</v>
      </c>
      <c r="B249" s="13" t="s">
        <v>2446</v>
      </c>
    </row>
    <row r="250" spans="1:2" x14ac:dyDescent="0.3">
      <c r="A250" t="s">
        <v>2078</v>
      </c>
      <c r="B250" s="13" t="s">
        <v>2447</v>
      </c>
    </row>
    <row r="251" spans="1:2" x14ac:dyDescent="0.3">
      <c r="A251" t="s">
        <v>2125</v>
      </c>
      <c r="B251" s="13" t="s">
        <v>2448</v>
      </c>
    </row>
    <row r="252" spans="1:2" x14ac:dyDescent="0.3">
      <c r="A252" t="s">
        <v>2127</v>
      </c>
      <c r="B252" s="13" t="s">
        <v>2449</v>
      </c>
    </row>
    <row r="253" spans="1:2" x14ac:dyDescent="0.3">
      <c r="A253" t="s">
        <v>2128</v>
      </c>
      <c r="B253" s="13" t="s">
        <v>2450</v>
      </c>
    </row>
    <row r="254" spans="1:2" x14ac:dyDescent="0.3">
      <c r="A254" t="s">
        <v>65</v>
      </c>
    </row>
    <row r="255" spans="1:2" x14ac:dyDescent="0.3">
      <c r="A255" t="s">
        <v>202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8CBADE-CA10-48AF-B42F-B07D87642F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CONVENIOS</vt:lpstr>
      <vt:lpstr>ESTADÍSTICAS</vt:lpstr>
      <vt:lpstr>GRÁFICOS</vt:lpstr>
      <vt:lpstr>INSTRUCCIONES</vt:lpstr>
      <vt:lpstr>CÓDIGOS DE PAÍS</vt:lpstr>
      <vt:lpstr>DropCondicion</vt:lpstr>
      <vt:lpstr>DropVigencia</vt:lpstr>
      <vt:lpstr>PAISES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VRI</dc:creator>
  <cp:keywords/>
  <dc:description/>
  <cp:lastModifiedBy>Esteban E. Hernández Garay</cp:lastModifiedBy>
  <cp:revision/>
  <dcterms:created xsi:type="dcterms:W3CDTF">2014-09-19T18:11:28Z</dcterms:created>
  <dcterms:modified xsi:type="dcterms:W3CDTF">2023-06-16T16:53:14Z</dcterms:modified>
  <cp:category/>
  <cp:contentStatus/>
</cp:coreProperties>
</file>